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Proracun" sheetId="1" r:id="rId1"/>
    <sheet name="Pijezometarske kote" sheetId="5" r:id="rId2"/>
    <sheet name="Protoci" sheetId="4" r:id="rId3"/>
    <sheet name="Zapremina vazduha u kazanu" sheetId="6" r:id="rId4"/>
    <sheet name="Sheet2" sheetId="2" r:id="rId5"/>
    <sheet name="Sheet3" sheetId="3" r:id="rId6"/>
  </sheets>
  <calcPr calcId="124519"/>
</workbook>
</file>

<file path=xl/calcChain.xml><?xml version="1.0" encoding="utf-8"?>
<calcChain xmlns="http://schemas.openxmlformats.org/spreadsheetml/2006/main">
  <c r="F6" i="1"/>
  <c r="J5" s="1"/>
  <c r="F4" l="1"/>
  <c r="E38"/>
  <c r="C11"/>
  <c r="D7"/>
  <c r="J4" s="1"/>
  <c r="J3" l="1"/>
  <c r="B3"/>
  <c r="H12" l="1"/>
  <c r="N11"/>
  <c r="N12" s="1"/>
  <c r="Q11"/>
  <c r="Q12" s="1"/>
  <c r="L12" s="1"/>
  <c r="I11"/>
  <c r="I12" s="1"/>
  <c r="M11"/>
  <c r="M12" s="1"/>
  <c r="H5"/>
  <c r="J11" s="1"/>
  <c r="J12" l="1"/>
  <c r="K12" s="1"/>
  <c r="M13" s="1"/>
  <c r="F11"/>
  <c r="G12"/>
  <c r="O12"/>
  <c r="Q13" s="1"/>
  <c r="L13" s="1"/>
  <c r="E13"/>
  <c r="C13"/>
  <c r="D38" l="1"/>
  <c r="F12"/>
  <c r="N13"/>
  <c r="O13" s="1"/>
  <c r="Q14" s="1"/>
  <c r="L14" s="1"/>
  <c r="G13" l="1"/>
  <c r="D11"/>
  <c r="D12" s="1"/>
  <c r="F38"/>
  <c r="H38" s="1"/>
  <c r="D13" s="1"/>
  <c r="F13" s="1"/>
  <c r="H13" s="1"/>
  <c r="E14" s="1"/>
  <c r="I13" l="1"/>
  <c r="J13" s="1"/>
  <c r="K13" s="1"/>
  <c r="M14" s="1"/>
  <c r="C14"/>
  <c r="D14" s="1"/>
  <c r="F14" s="1"/>
  <c r="H14" s="1"/>
  <c r="I14" s="1"/>
  <c r="J14" s="1"/>
  <c r="K14" s="1"/>
  <c r="M15" s="1"/>
  <c r="N14"/>
  <c r="O14" s="1"/>
  <c r="Q15" s="1"/>
  <c r="L15" s="1"/>
  <c r="G14" l="1"/>
  <c r="N15"/>
  <c r="G15" s="1"/>
  <c r="E15"/>
  <c r="C15"/>
  <c r="D15" l="1"/>
  <c r="F15"/>
  <c r="H15" s="1"/>
  <c r="I15" s="1"/>
  <c r="J15" s="1"/>
  <c r="K15" s="1"/>
  <c r="M16" s="1"/>
  <c r="O15"/>
  <c r="Q16" s="1"/>
  <c r="L16" s="1"/>
  <c r="E16" l="1"/>
  <c r="C16"/>
  <c r="D16" s="1"/>
  <c r="N16"/>
  <c r="G16" s="1"/>
  <c r="F16" l="1"/>
  <c r="H16" s="1"/>
  <c r="O16"/>
  <c r="Q17" s="1"/>
  <c r="L17" s="1"/>
  <c r="I16"/>
  <c r="J16" s="1"/>
  <c r="K16" s="1"/>
  <c r="M17" s="1"/>
  <c r="E17"/>
  <c r="C17"/>
  <c r="D17" l="1"/>
  <c r="F17" s="1"/>
  <c r="H17" s="1"/>
  <c r="N17"/>
  <c r="O17" s="1"/>
  <c r="Q18" s="1"/>
  <c r="L18" s="1"/>
  <c r="G17" l="1"/>
  <c r="I17"/>
  <c r="J17" s="1"/>
  <c r="K17" s="1"/>
  <c r="M18" s="1"/>
  <c r="E18"/>
  <c r="C18"/>
  <c r="D18" l="1"/>
  <c r="F18" s="1"/>
  <c r="H18" s="1"/>
  <c r="N18"/>
  <c r="G18" s="1"/>
  <c r="O18" l="1"/>
  <c r="Q19" s="1"/>
  <c r="L19" s="1"/>
  <c r="I18"/>
  <c r="J18" s="1"/>
  <c r="K18" s="1"/>
  <c r="M19" s="1"/>
  <c r="E19"/>
  <c r="C19"/>
  <c r="D19" l="1"/>
  <c r="F19" s="1"/>
  <c r="H19" s="1"/>
  <c r="N19"/>
  <c r="G19" s="1"/>
  <c r="O19" l="1"/>
  <c r="Q20" s="1"/>
  <c r="L20" s="1"/>
  <c r="I19"/>
  <c r="J19" s="1"/>
  <c r="K19" s="1"/>
  <c r="M20" s="1"/>
  <c r="E20"/>
  <c r="C20"/>
  <c r="D20" l="1"/>
  <c r="F20" s="1"/>
  <c r="H20" s="1"/>
  <c r="N20"/>
  <c r="G20" s="1"/>
  <c r="O20" l="1"/>
  <c r="Q21" s="1"/>
  <c r="L21" s="1"/>
  <c r="I20"/>
  <c r="J20" s="1"/>
  <c r="K20" s="1"/>
  <c r="M21" s="1"/>
  <c r="E21"/>
  <c r="C21"/>
  <c r="D21" l="1"/>
  <c r="F21" s="1"/>
  <c r="H21" s="1"/>
  <c r="N21"/>
  <c r="O21" s="1"/>
  <c r="Q22" s="1"/>
  <c r="L22" s="1"/>
  <c r="G21" l="1"/>
  <c r="I21"/>
  <c r="J21" s="1"/>
  <c r="K21" s="1"/>
  <c r="M22" s="1"/>
  <c r="E22"/>
  <c r="C22"/>
  <c r="D22" l="1"/>
  <c r="F22" s="1"/>
  <c r="H22" s="1"/>
  <c r="N22"/>
  <c r="G22" s="1"/>
  <c r="O22" l="1"/>
  <c r="Q23" s="1"/>
  <c r="L23" s="1"/>
  <c r="I22"/>
  <c r="J22" s="1"/>
  <c r="K22" s="1"/>
  <c r="M23" s="1"/>
  <c r="E23"/>
  <c r="C23"/>
  <c r="D23" l="1"/>
  <c r="F23" s="1"/>
  <c r="H23" s="1"/>
  <c r="N23"/>
  <c r="G23" s="1"/>
  <c r="O23" l="1"/>
  <c r="Q24" s="1"/>
  <c r="L24" s="1"/>
  <c r="I23"/>
  <c r="J23" s="1"/>
  <c r="K23" s="1"/>
  <c r="M24" s="1"/>
  <c r="E24"/>
  <c r="C24"/>
  <c r="D24" l="1"/>
  <c r="F24" s="1"/>
  <c r="H24" s="1"/>
  <c r="N24"/>
  <c r="G24" s="1"/>
  <c r="O24" l="1"/>
  <c r="Q25" s="1"/>
  <c r="L25" s="1"/>
  <c r="I24"/>
  <c r="J24" s="1"/>
  <c r="K24" s="1"/>
  <c r="M25" s="1"/>
  <c r="E25"/>
  <c r="C25"/>
  <c r="D25" l="1"/>
  <c r="F25" s="1"/>
  <c r="H25" s="1"/>
  <c r="N25"/>
  <c r="G25" s="1"/>
  <c r="O25" l="1"/>
  <c r="Q26" s="1"/>
  <c r="L26" s="1"/>
  <c r="I25"/>
  <c r="J25" s="1"/>
  <c r="K25" s="1"/>
  <c r="M26" s="1"/>
  <c r="E26"/>
  <c r="C26"/>
  <c r="D26" l="1"/>
  <c r="F26" s="1"/>
  <c r="H26" s="1"/>
  <c r="N26"/>
  <c r="G26" s="1"/>
  <c r="O26" l="1"/>
  <c r="Q27" s="1"/>
  <c r="L27" s="1"/>
  <c r="I26"/>
  <c r="J26" s="1"/>
  <c r="K26" s="1"/>
  <c r="M27" s="1"/>
  <c r="E27"/>
  <c r="C27"/>
  <c r="D27" l="1"/>
  <c r="F27" s="1"/>
  <c r="H27" s="1"/>
  <c r="N27"/>
  <c r="G27" s="1"/>
  <c r="O27" l="1"/>
  <c r="Q28" s="1"/>
  <c r="L28" s="1"/>
  <c r="I27"/>
  <c r="J27" s="1"/>
  <c r="K27" s="1"/>
  <c r="M28" s="1"/>
  <c r="E28"/>
  <c r="C28"/>
  <c r="D28" l="1"/>
  <c r="F28" s="1"/>
  <c r="H28" s="1"/>
  <c r="N28"/>
  <c r="G28" s="1"/>
  <c r="O28" l="1"/>
  <c r="Q29" s="1"/>
  <c r="L29" s="1"/>
  <c r="I28"/>
  <c r="J28" s="1"/>
  <c r="K28" s="1"/>
  <c r="M29" s="1"/>
  <c r="E29"/>
  <c r="C29"/>
  <c r="D29" l="1"/>
  <c r="F29" s="1"/>
  <c r="H29" s="1"/>
  <c r="N29"/>
  <c r="G29" s="1"/>
  <c r="O29" l="1"/>
  <c r="Q30" s="1"/>
  <c r="L30" s="1"/>
  <c r="I29"/>
  <c r="J29" s="1"/>
  <c r="K29" s="1"/>
  <c r="M30" s="1"/>
  <c r="E30"/>
  <c r="C30"/>
  <c r="D30" l="1"/>
  <c r="F30" s="1"/>
  <c r="H30" s="1"/>
  <c r="N30"/>
  <c r="G30" s="1"/>
  <c r="O30" l="1"/>
  <c r="Q31" s="1"/>
  <c r="L31" s="1"/>
  <c r="I30"/>
  <c r="J30" s="1"/>
  <c r="K30" s="1"/>
  <c r="M31" s="1"/>
  <c r="E31"/>
  <c r="C31"/>
  <c r="D31" s="1"/>
  <c r="F31" l="1"/>
  <c r="H31" s="1"/>
  <c r="I31" s="1"/>
  <c r="J31" s="1"/>
  <c r="K31" s="1"/>
  <c r="N31"/>
  <c r="G31" s="1"/>
  <c r="O31" l="1"/>
</calcChain>
</file>

<file path=xl/sharedStrings.xml><?xml version="1.0" encoding="utf-8"?>
<sst xmlns="http://schemas.openxmlformats.org/spreadsheetml/2006/main" count="44" uniqueCount="42">
  <si>
    <t>α</t>
  </si>
  <si>
    <t>β</t>
  </si>
  <si>
    <t>a [m/s]</t>
  </si>
  <si>
    <t>λ</t>
  </si>
  <si>
    <t>∆X [m]</t>
  </si>
  <si>
    <t>n [-]</t>
  </si>
  <si>
    <t>t [s]</t>
  </si>
  <si>
    <t>CM</t>
  </si>
  <si>
    <t>CP</t>
  </si>
  <si>
    <t>const2</t>
  </si>
  <si>
    <t>n</t>
  </si>
  <si>
    <r>
      <t>prel/</t>
    </r>
    <r>
      <rPr>
        <sz val="11"/>
        <color theme="1"/>
        <rFont val="Calibri"/>
        <family val="2"/>
      </rPr>
      <t>ρg</t>
    </r>
    <r>
      <rPr>
        <sz val="11"/>
        <color theme="1"/>
        <rFont val="Calibri"/>
        <family val="2"/>
        <scheme val="minor"/>
      </rPr>
      <t xml:space="preserve"> [m]</t>
    </r>
  </si>
  <si>
    <r>
      <t>patm/</t>
    </r>
    <r>
      <rPr>
        <sz val="11"/>
        <color theme="1"/>
        <rFont val="Calibri"/>
        <family val="2"/>
      </rPr>
      <t>ρg</t>
    </r>
    <r>
      <rPr>
        <sz val="11"/>
        <color theme="1"/>
        <rFont val="Calibri"/>
        <family val="2"/>
        <scheme val="minor"/>
      </rPr>
      <t xml:space="preserve"> [m]</t>
    </r>
  </si>
  <si>
    <t>pabs/ρg [m]</t>
  </si>
  <si>
    <t>∆t [s]</t>
  </si>
  <si>
    <t>B</t>
  </si>
  <si>
    <t>M</t>
  </si>
  <si>
    <t>R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</si>
  <si>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k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]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</si>
  <si>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abs</t>
    </r>
    <r>
      <rPr>
        <b/>
        <sz val="11"/>
        <color theme="1"/>
        <rFont val="Calibri"/>
        <family val="2"/>
        <scheme val="minor"/>
      </rPr>
      <t>/</t>
    </r>
    <r>
      <rPr>
        <b/>
        <sz val="11"/>
        <color theme="1"/>
        <rFont val="Calibri"/>
        <family val="2"/>
      </rPr>
      <t>ρg [m]</t>
    </r>
  </si>
  <si>
    <r>
      <t>H</t>
    </r>
    <r>
      <rPr>
        <b/>
        <vertAlign val="subscript"/>
        <sz val="11"/>
        <color theme="1"/>
        <rFont val="Calibri"/>
        <family val="2"/>
        <scheme val="minor"/>
      </rPr>
      <t>k</t>
    </r>
    <r>
      <rPr>
        <b/>
        <sz val="11"/>
        <color theme="1"/>
        <rFont val="Calibri"/>
        <family val="2"/>
        <scheme val="minor"/>
      </rPr>
      <t xml:space="preserve"> [m]</t>
    </r>
  </si>
  <si>
    <r>
      <t>Π</t>
    </r>
    <r>
      <rPr>
        <b/>
        <vertAlign val="subscript"/>
        <sz val="11"/>
        <color theme="1"/>
        <rFont val="Calibri"/>
        <family val="2"/>
      </rPr>
      <t>k</t>
    </r>
    <r>
      <rPr>
        <b/>
        <sz val="11"/>
        <color theme="1"/>
        <rFont val="Calibri"/>
        <family val="2"/>
      </rPr>
      <t xml:space="preserve"> [m]</t>
    </r>
  </si>
  <si>
    <r>
      <t>Q</t>
    </r>
    <r>
      <rPr>
        <b/>
        <vertAlign val="subscript"/>
        <sz val="11"/>
        <color theme="1"/>
        <rFont val="Calibri"/>
        <family val="2"/>
      </rPr>
      <t>k</t>
    </r>
    <r>
      <rPr>
        <b/>
        <sz val="11"/>
        <color theme="1"/>
        <rFont val="Calibri"/>
        <family val="2"/>
      </rPr>
      <t xml:space="preserve"> [m</t>
    </r>
    <r>
      <rPr>
        <b/>
        <vertAlign val="superscript"/>
        <sz val="11"/>
        <color theme="1"/>
        <rFont val="Calibri"/>
        <family val="2"/>
      </rPr>
      <t>3</t>
    </r>
    <r>
      <rPr>
        <b/>
        <sz val="11"/>
        <color theme="1"/>
        <rFont val="Calibri"/>
        <family val="2"/>
      </rPr>
      <t>/s]</t>
    </r>
  </si>
  <si>
    <r>
      <t>Q</t>
    </r>
    <r>
      <rPr>
        <b/>
        <vertAlign val="subscript"/>
        <sz val="11"/>
        <color theme="1"/>
        <rFont val="Calibri"/>
        <family val="2"/>
      </rPr>
      <t>1</t>
    </r>
    <r>
      <rPr>
        <b/>
        <sz val="11"/>
        <color theme="1"/>
        <rFont val="Calibri"/>
        <family val="2"/>
      </rPr>
      <t xml:space="preserve"> [m</t>
    </r>
    <r>
      <rPr>
        <b/>
        <vertAlign val="superscript"/>
        <sz val="11"/>
        <color theme="1"/>
        <rFont val="Calibri"/>
        <family val="2"/>
      </rPr>
      <t>3</t>
    </r>
    <r>
      <rPr>
        <b/>
        <sz val="11"/>
        <color theme="1"/>
        <rFont val="Calibri"/>
        <family val="2"/>
      </rPr>
      <t>/s]</t>
    </r>
  </si>
  <si>
    <r>
      <t>Π</t>
    </r>
    <r>
      <rPr>
        <b/>
        <vertAlign val="subscript"/>
        <sz val="11"/>
        <color theme="1"/>
        <rFont val="Calibri"/>
        <family val="2"/>
      </rPr>
      <t>1</t>
    </r>
    <r>
      <rPr>
        <b/>
        <sz val="11"/>
        <color theme="1"/>
        <rFont val="Calibri"/>
        <family val="2"/>
      </rPr>
      <t xml:space="preserve"> [m]</t>
    </r>
  </si>
  <si>
    <r>
      <t>Π</t>
    </r>
    <r>
      <rPr>
        <b/>
        <vertAlign val="sub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 xml:space="preserve"> [m]</t>
    </r>
  </si>
  <si>
    <r>
      <t>Q</t>
    </r>
    <r>
      <rPr>
        <b/>
        <vertAlign val="sub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 xml:space="preserve"> [m</t>
    </r>
    <r>
      <rPr>
        <b/>
        <vertAlign val="superscript"/>
        <sz val="11"/>
        <color theme="1"/>
        <rFont val="Calibri"/>
        <family val="2"/>
      </rPr>
      <t>3</t>
    </r>
    <r>
      <rPr>
        <b/>
        <sz val="11"/>
        <color theme="1"/>
        <rFont val="Calibri"/>
        <family val="2"/>
      </rPr>
      <t>/s]</t>
    </r>
  </si>
  <si>
    <r>
      <t>Π</t>
    </r>
    <r>
      <rPr>
        <b/>
        <vertAlign val="subscript"/>
        <sz val="11"/>
        <color theme="1"/>
        <rFont val="Calibri"/>
        <family val="2"/>
      </rPr>
      <t>3</t>
    </r>
    <r>
      <rPr>
        <b/>
        <sz val="11"/>
        <color theme="1"/>
        <rFont val="Calibri"/>
        <family val="2"/>
      </rPr>
      <t xml:space="preserve"> [m]</t>
    </r>
  </si>
  <si>
    <r>
      <t>Q</t>
    </r>
    <r>
      <rPr>
        <b/>
        <vertAlign val="subscript"/>
        <sz val="11"/>
        <color theme="1"/>
        <rFont val="Calibri"/>
        <family val="2"/>
      </rPr>
      <t>3</t>
    </r>
    <r>
      <rPr>
        <b/>
        <sz val="11"/>
        <color theme="1"/>
        <rFont val="Calibri"/>
        <family val="2"/>
      </rPr>
      <t xml:space="preserve"> [m</t>
    </r>
    <r>
      <rPr>
        <b/>
        <vertAlign val="superscript"/>
        <sz val="11"/>
        <color theme="1"/>
        <rFont val="Calibri"/>
        <family val="2"/>
      </rPr>
      <t>3</t>
    </r>
    <r>
      <rPr>
        <b/>
        <sz val="11"/>
        <color theme="1"/>
        <rFont val="Calibri"/>
        <family val="2"/>
      </rPr>
      <t>/s]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</si>
  <si>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 xml:space="preserve"> [l/s]</t>
    </r>
  </si>
  <si>
    <r>
      <t>V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]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</si>
  <si>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c</t>
    </r>
    <r>
      <rPr>
        <b/>
        <sz val="11"/>
        <color theme="1"/>
        <rFont val="Calibri"/>
        <family val="2"/>
        <scheme val="minor"/>
      </rPr>
      <t xml:space="preserve"> [mm]</t>
    </r>
  </si>
  <si>
    <r>
      <t>L</t>
    </r>
    <r>
      <rPr>
        <b/>
        <vertAlign val="subscript"/>
        <sz val="11"/>
        <color theme="1"/>
        <rFont val="Calibri"/>
        <family val="2"/>
        <scheme val="minor"/>
      </rPr>
      <t>ab</t>
    </r>
    <r>
      <rPr>
        <b/>
        <sz val="11"/>
        <color theme="1"/>
        <rFont val="Calibri"/>
        <family val="2"/>
        <scheme val="minor"/>
      </rPr>
      <t xml:space="preserve"> [m]</t>
    </r>
  </si>
  <si>
    <r>
      <t>A</t>
    </r>
    <r>
      <rPr>
        <b/>
        <vertAlign val="subscript"/>
        <sz val="11"/>
        <color theme="1"/>
        <rFont val="Calibri"/>
        <family val="2"/>
      </rPr>
      <t>c</t>
    </r>
    <r>
      <rPr>
        <b/>
        <sz val="11"/>
        <color theme="1"/>
        <rFont val="Calibri"/>
        <family val="2"/>
      </rPr>
      <t xml:space="preserve"> [m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]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</si>
  <si>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k</t>
    </r>
    <r>
      <rPr>
        <b/>
        <sz val="11"/>
        <color theme="1"/>
        <rFont val="Calibri"/>
        <family val="2"/>
        <scheme val="minor"/>
      </rPr>
      <t xml:space="preserve"> [m]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</si>
  <si>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k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</si>
  <si>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pr</t>
    </r>
    <r>
      <rPr>
        <b/>
        <sz val="11"/>
        <color theme="1"/>
        <rFont val="Calibri"/>
        <family val="2"/>
        <scheme val="minor"/>
      </rPr>
      <t xml:space="preserve"> [mm]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</si>
  <si>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</si>
  <si>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ξ</t>
    </r>
    <r>
      <rPr>
        <b/>
        <vertAlign val="subscript"/>
        <sz val="11"/>
        <color theme="1"/>
        <rFont val="Calibri"/>
        <family val="2"/>
      </rPr>
      <t>pr</t>
    </r>
  </si>
  <si>
    <r>
      <t>Π</t>
    </r>
    <r>
      <rPr>
        <b/>
        <vertAlign val="subscript"/>
        <sz val="11"/>
        <color theme="1"/>
        <rFont val="Calibri"/>
        <family val="2"/>
      </rPr>
      <t>a</t>
    </r>
    <r>
      <rPr>
        <b/>
        <sz val="11"/>
        <color theme="1"/>
        <rFont val="Calibri"/>
        <family val="2"/>
      </rPr>
      <t xml:space="preserve"> [m]</t>
    </r>
  </si>
  <si>
    <r>
      <t>Π</t>
    </r>
    <r>
      <rPr>
        <b/>
        <vertAlign val="subscript"/>
        <sz val="11"/>
        <color theme="1"/>
        <rFont val="Calibri"/>
        <family val="2"/>
      </rPr>
      <t>b</t>
    </r>
    <r>
      <rPr>
        <b/>
        <sz val="11"/>
        <color theme="1"/>
        <rFont val="Calibri"/>
        <family val="2"/>
      </rPr>
      <t xml:space="preserve"> [m]</t>
    </r>
  </si>
  <si>
    <r>
      <t>H</t>
    </r>
    <r>
      <rPr>
        <b/>
        <vertAlign val="subscript"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[m]</t>
    </r>
  </si>
</sst>
</file>

<file path=xl/styles.xml><?xml version="1.0" encoding="utf-8"?>
<styleSheet xmlns="http://schemas.openxmlformats.org/spreadsheetml/2006/main">
  <numFmts count="1">
    <numFmt numFmtId="168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168" fontId="0" fillId="0" borderId="8" xfId="0" applyNumberFormat="1" applyBorder="1" applyAlignment="1">
      <alignment horizontal="center"/>
    </xf>
    <xf numFmtId="168" fontId="0" fillId="0" borderId="6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168" fontId="0" fillId="0" borderId="16" xfId="0" applyNumberFormat="1" applyBorder="1" applyAlignment="1">
      <alignment horizontal="center"/>
    </xf>
    <xf numFmtId="168" fontId="0" fillId="0" borderId="13" xfId="0" applyNumberFormat="1" applyBorder="1" applyAlignment="1">
      <alignment horizontal="center"/>
    </xf>
    <xf numFmtId="168" fontId="0" fillId="0" borderId="15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0" fillId="2" borderId="17" xfId="0" applyFill="1" applyBorder="1" applyAlignment="1">
      <alignment horizontal="center"/>
    </xf>
    <xf numFmtId="168" fontId="0" fillId="0" borderId="2" xfId="0" applyNumberFormat="1" applyBorder="1" applyAlignment="1">
      <alignment horizontal="center"/>
    </xf>
    <xf numFmtId="0" fontId="0" fillId="2" borderId="2" xfId="0" applyFill="1" applyBorder="1" applyAlignment="1">
      <alignment horizontal="center"/>
    </xf>
    <xf numFmtId="168" fontId="0" fillId="0" borderId="18" xfId="0" applyNumberForma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5" Type="http://schemas.openxmlformats.org/officeDocument/2006/relationships/worksheet" Target="work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Promena pijezometarskih kota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Kazan</c:v>
          </c:tx>
          <c:spPr>
            <a:ln w="25400"/>
          </c:spPr>
          <c:marker>
            <c:symbol val="none"/>
          </c:marker>
          <c:xVal>
            <c:numRef>
              <c:f>Proracun!$B$11:$B$31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Proracun!$F$11:$F$31</c:f>
              <c:numCache>
                <c:formatCode>0.00</c:formatCode>
                <c:ptCount val="21"/>
                <c:pt idx="0">
                  <c:v>55.335248570941189</c:v>
                </c:pt>
                <c:pt idx="1">
                  <c:v>55.335248570941189</c:v>
                </c:pt>
                <c:pt idx="2">
                  <c:v>38.719205494093153</c:v>
                </c:pt>
                <c:pt idx="3">
                  <c:v>30.934195845137616</c:v>
                </c:pt>
                <c:pt idx="4">
                  <c:v>25.388948981427944</c:v>
                </c:pt>
                <c:pt idx="5">
                  <c:v>21.212949942704711</c:v>
                </c:pt>
                <c:pt idx="6">
                  <c:v>17.768162652568492</c:v>
                </c:pt>
                <c:pt idx="7">
                  <c:v>15.896516405704959</c:v>
                </c:pt>
                <c:pt idx="8">
                  <c:v>14.290294049464512</c:v>
                </c:pt>
                <c:pt idx="9">
                  <c:v>12.880009590986974</c:v>
                </c:pt>
                <c:pt idx="10">
                  <c:v>11.631635059703596</c:v>
                </c:pt>
                <c:pt idx="11">
                  <c:v>10.721701434727185</c:v>
                </c:pt>
                <c:pt idx="12">
                  <c:v>9.9035907641802847</c:v>
                </c:pt>
                <c:pt idx="13">
                  <c:v>9.1580404428917195</c:v>
                </c:pt>
                <c:pt idx="14">
                  <c:v>8.4786497221447288</c:v>
                </c:pt>
                <c:pt idx="15">
                  <c:v>7.9311799306484136</c:v>
                </c:pt>
                <c:pt idx="16">
                  <c:v>7.4284965818347128</c:v>
                </c:pt>
                <c:pt idx="17">
                  <c:v>6.962655959679859</c:v>
                </c:pt>
                <c:pt idx="18">
                  <c:v>6.531817409318931</c:v>
                </c:pt>
                <c:pt idx="19">
                  <c:v>6.1676795652834198</c:v>
                </c:pt>
                <c:pt idx="20">
                  <c:v>5.8296097577622223</c:v>
                </c:pt>
              </c:numCache>
            </c:numRef>
          </c:yVal>
          <c:smooth val="1"/>
        </c:ser>
        <c:ser>
          <c:idx val="1"/>
          <c:order val="1"/>
          <c:tx>
            <c:v>Presek 1</c:v>
          </c:tx>
          <c:spPr>
            <a:ln w="25400">
              <a:prstDash val="dash"/>
            </a:ln>
          </c:spPr>
          <c:marker>
            <c:symbol val="none"/>
          </c:marker>
          <c:xVal>
            <c:numRef>
              <c:f>Proracun!$B$11:$B$31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Proracun!$J$11:$J$31</c:f>
              <c:numCache>
                <c:formatCode>0.00</c:formatCode>
                <c:ptCount val="21"/>
                <c:pt idx="0">
                  <c:v>55.335248570941189</c:v>
                </c:pt>
                <c:pt idx="1">
                  <c:v>55.335248570941189</c:v>
                </c:pt>
                <c:pt idx="2">
                  <c:v>4.7260946763664435</c:v>
                </c:pt>
                <c:pt idx="3">
                  <c:v>-0.47684931800046115</c:v>
                </c:pt>
                <c:pt idx="4">
                  <c:v>-4.2251312024475709</c:v>
                </c:pt>
                <c:pt idx="5">
                  <c:v>-10.514992244643082</c:v>
                </c:pt>
                <c:pt idx="6">
                  <c:v>4.4909700000451238</c:v>
                </c:pt>
                <c:pt idx="7">
                  <c:v>3.3492005846462973</c:v>
                </c:pt>
                <c:pt idx="8">
                  <c:v>2.1141972646828719</c:v>
                </c:pt>
                <c:pt idx="9">
                  <c:v>1.0532401128509861</c:v>
                </c:pt>
                <c:pt idx="10">
                  <c:v>4.0861267781589703</c:v>
                </c:pt>
                <c:pt idx="11">
                  <c:v>3.6117333948687715</c:v>
                </c:pt>
                <c:pt idx="12">
                  <c:v>3.0843410663180677</c:v>
                </c:pt>
                <c:pt idx="13">
                  <c:v>2.671163884371488</c:v>
                </c:pt>
                <c:pt idx="14">
                  <c:v>3.7261735627586177</c:v>
                </c:pt>
                <c:pt idx="15">
                  <c:v>3.475028635016578</c:v>
                </c:pt>
                <c:pt idx="16">
                  <c:v>3.1967440620047824</c:v>
                </c:pt>
                <c:pt idx="17">
                  <c:v>2.9808337943818088</c:v>
                </c:pt>
                <c:pt idx="18">
                  <c:v>3.4308932741162863</c:v>
                </c:pt>
                <c:pt idx="19">
                  <c:v>3.2784757969372649</c:v>
                </c:pt>
                <c:pt idx="20">
                  <c:v>3.1115246138964849</c:v>
                </c:pt>
              </c:numCache>
            </c:numRef>
          </c:yVal>
          <c:smooth val="1"/>
        </c:ser>
        <c:ser>
          <c:idx val="2"/>
          <c:order val="2"/>
          <c:tx>
            <c:v>Presek 2</c:v>
          </c:tx>
          <c:spPr>
            <a:ln w="25400">
              <a:prstDash val="lgDash"/>
            </a:ln>
          </c:spPr>
          <c:marker>
            <c:symbol val="none"/>
          </c:marker>
          <c:xVal>
            <c:numRef>
              <c:f>Proracun!$B$11:$B$31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Proracun!$M$11:$M$31</c:f>
              <c:numCache>
                <c:formatCode>0.00</c:formatCode>
                <c:ptCount val="21"/>
                <c:pt idx="0">
                  <c:v>30.167624285470595</c:v>
                </c:pt>
                <c:pt idx="1">
                  <c:v>30.167624285470595</c:v>
                </c:pt>
                <c:pt idx="2">
                  <c:v>30.167624285470595</c:v>
                </c:pt>
                <c:pt idx="3">
                  <c:v>-14.4969969229561</c:v>
                </c:pt>
                <c:pt idx="4">
                  <c:v>-19.195631219161157</c:v>
                </c:pt>
                <c:pt idx="5">
                  <c:v>8.301508545967252</c:v>
                </c:pt>
                <c:pt idx="6">
                  <c:v>10.530328163860538</c:v>
                </c:pt>
                <c:pt idx="7">
                  <c:v>-0.92729281214275971</c:v>
                </c:pt>
                <c:pt idx="8">
                  <c:v>-1.667880354069375</c:v>
                </c:pt>
                <c:pt idx="9">
                  <c:v>6.818853196223877</c:v>
                </c:pt>
                <c:pt idx="10">
                  <c:v>7.0716652091691472</c:v>
                </c:pt>
                <c:pt idx="11">
                  <c:v>1.9417088365191404</c:v>
                </c:pt>
                <c:pt idx="12">
                  <c:v>1.6931555294014551</c:v>
                </c:pt>
                <c:pt idx="13">
                  <c:v>5.6927990535706918</c:v>
                </c:pt>
                <c:pt idx="14">
                  <c:v>5.7202275215450307</c:v>
                </c:pt>
                <c:pt idx="15">
                  <c:v>2.9117260900528557</c:v>
                </c:pt>
                <c:pt idx="16">
                  <c:v>2.7982492869819957</c:v>
                </c:pt>
                <c:pt idx="17">
                  <c:v>5.066848455534295</c:v>
                </c:pt>
                <c:pt idx="18">
                  <c:v>5.0502818974237051</c:v>
                </c:pt>
                <c:pt idx="19">
                  <c:v>3.299241160081877</c:v>
                </c:pt>
                <c:pt idx="20">
                  <c:v>3.2365330070675782</c:v>
                </c:pt>
              </c:numCache>
            </c:numRef>
          </c:yVal>
          <c:smooth val="1"/>
        </c:ser>
        <c:ser>
          <c:idx val="3"/>
          <c:order val="3"/>
          <c:tx>
            <c:v>Presek 3</c:v>
          </c:tx>
          <c:spPr>
            <a:ln w="25400">
              <a:prstDash val="sysDot"/>
            </a:ln>
          </c:spPr>
          <c:marker>
            <c:symbol val="none"/>
          </c:marker>
          <c:xVal>
            <c:numRef>
              <c:f>Proracun!$B$11:$B$31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Proracun!$P$11:$P$31</c:f>
              <c:numCache>
                <c:formatCode>0.00</c:formatCode>
                <c:ptCount val="21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</c:numCache>
            </c:numRef>
          </c:yVal>
          <c:smooth val="1"/>
        </c:ser>
        <c:dLbls/>
        <c:axId val="101460992"/>
        <c:axId val="101679872"/>
      </c:scatterChart>
      <c:valAx>
        <c:axId val="101460992"/>
        <c:scaling>
          <c:orientation val="minMax"/>
          <c:max val="2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</a:t>
                </a:r>
                <a:r>
                  <a:rPr lang="en-US" baseline="0"/>
                  <a:t> [s]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101679872"/>
        <c:crossesAt val="-20"/>
        <c:crossBetween val="midCat"/>
      </c:valAx>
      <c:valAx>
        <c:axId val="101679872"/>
        <c:scaling>
          <c:orientation val="minMax"/>
          <c:max val="60"/>
          <c:min val="-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Π</a:t>
                </a:r>
                <a:r>
                  <a:rPr lang="en-US"/>
                  <a:t> [m]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101460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761930123439202"/>
          <c:y val="0.31095459048274771"/>
          <c:w val="0.1052434511330496"/>
          <c:h val="0.1626735489464608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Promena protoka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Q1</c:v>
          </c:tx>
          <c:spPr>
            <a:ln w="25400"/>
          </c:spPr>
          <c:marker>
            <c:symbol val="none"/>
          </c:marker>
          <c:xVal>
            <c:numRef>
              <c:f>Proracun!$B$11:$B$31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Proracun!$I$11:$I$31</c:f>
              <c:numCache>
                <c:formatCode>0.000</c:formatCode>
                <c:ptCount val="21"/>
                <c:pt idx="0">
                  <c:v>5.7000000000000002E-2</c:v>
                </c:pt>
                <c:pt idx="1">
                  <c:v>5.7000000000000002E-2</c:v>
                </c:pt>
                <c:pt idx="2">
                  <c:v>4.1402752749592091E-2</c:v>
                </c:pt>
                <c:pt idx="3">
                  <c:v>3.9799256194814385E-2</c:v>
                </c:pt>
                <c:pt idx="4">
                  <c:v>3.8644072303818458E-2</c:v>
                </c:pt>
                <c:pt idx="5">
                  <c:v>3.9999514015967776E-2</c:v>
                </c:pt>
                <c:pt idx="6">
                  <c:v>2.5875389177401724E-2</c:v>
                </c:pt>
                <c:pt idx="7">
                  <c:v>2.5154122800729279E-2</c:v>
                </c:pt>
                <c:pt idx="8">
                  <c:v>2.4779230056945174E-2</c:v>
                </c:pt>
                <c:pt idx="9">
                  <c:v>2.4421190306176128E-2</c:v>
                </c:pt>
                <c:pt idx="10">
                  <c:v>1.950643981415353E-2</c:v>
                </c:pt>
                <c:pt idx="11">
                  <c:v>1.8935099269238122E-2</c:v>
                </c:pt>
                <c:pt idx="12">
                  <c:v>1.8543941928337093E-2</c:v>
                </c:pt>
                <c:pt idx="13">
                  <c:v>1.8086376984847493E-2</c:v>
                </c:pt>
                <c:pt idx="14">
                  <c:v>1.5480811961571944E-2</c:v>
                </c:pt>
                <c:pt idx="15">
                  <c:v>1.4990417404570041E-2</c:v>
                </c:pt>
                <c:pt idx="16">
                  <c:v>1.4608105368440441E-2</c:v>
                </c:pt>
                <c:pt idx="17">
                  <c:v>1.417015797393564E-2</c:v>
                </c:pt>
                <c:pt idx="18">
                  <c:v>1.2504874361475606E-2</c:v>
                </c:pt>
                <c:pt idx="19">
                  <c:v>1.2070432961672184E-2</c:v>
                </c:pt>
                <c:pt idx="20">
                  <c:v>1.170753030050768E-2</c:v>
                </c:pt>
              </c:numCache>
            </c:numRef>
          </c:yVal>
          <c:smooth val="1"/>
        </c:ser>
        <c:ser>
          <c:idx val="1"/>
          <c:order val="1"/>
          <c:tx>
            <c:v>Q2</c:v>
          </c:tx>
          <c:spPr>
            <a:ln w="25400">
              <a:prstDash val="dash"/>
            </a:ln>
          </c:spPr>
          <c:marker>
            <c:symbol val="none"/>
          </c:marker>
          <c:xVal>
            <c:numRef>
              <c:f>Proracun!$B$11:$B$31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Proracun!$N$11:$N$31</c:f>
              <c:numCache>
                <c:formatCode>0.000</c:formatCode>
                <c:ptCount val="21"/>
                <c:pt idx="0">
                  <c:v>5.7000000000000002E-2</c:v>
                </c:pt>
                <c:pt idx="1">
                  <c:v>5.7000000000000002E-2</c:v>
                </c:pt>
                <c:pt idx="2">
                  <c:v>5.7000000000000002E-2</c:v>
                </c:pt>
                <c:pt idx="3">
                  <c:v>4.3234799700764735E-2</c:v>
                </c:pt>
                <c:pt idx="4">
                  <c:v>4.1786726472553486E-2</c:v>
                </c:pt>
                <c:pt idx="5">
                  <c:v>3.1218339491357584E-2</c:v>
                </c:pt>
                <c:pt idx="6">
                  <c:v>2.9693925864108628E-2</c:v>
                </c:pt>
                <c:pt idx="7">
                  <c:v>2.5946845991328956E-2</c:v>
                </c:pt>
                <c:pt idx="8">
                  <c:v>2.5189806822124353E-2</c:v>
                </c:pt>
                <c:pt idx="9">
                  <c:v>2.1863459542135089E-2</c:v>
                </c:pt>
                <c:pt idx="10">
                  <c:v>2.1142583358938975E-2</c:v>
                </c:pt>
                <c:pt idx="11">
                  <c:v>1.9258948804088662E-2</c:v>
                </c:pt>
                <c:pt idx="12">
                  <c:v>1.8670439853346144E-2</c:v>
                </c:pt>
                <c:pt idx="13">
                  <c:v>1.6919092904048666E-2</c:v>
                </c:pt>
                <c:pt idx="14">
                  <c:v>1.6365750942582791E-2</c:v>
                </c:pt>
                <c:pt idx="15">
                  <c:v>1.5159681268053298E-2</c:v>
                </c:pt>
                <c:pt idx="16">
                  <c:v>1.4662532344495478E-2</c:v>
                </c:pt>
                <c:pt idx="17">
                  <c:v>1.3522310251828096E-2</c:v>
                </c:pt>
                <c:pt idx="18">
                  <c:v>1.3053015390444732E-2</c:v>
                </c:pt>
                <c:pt idx="19">
                  <c:v>1.217213788639224E-2</c:v>
                </c:pt>
                <c:pt idx="20">
                  <c:v>1.173553728855622E-2</c:v>
                </c:pt>
              </c:numCache>
            </c:numRef>
          </c:yVal>
          <c:smooth val="1"/>
        </c:ser>
        <c:ser>
          <c:idx val="2"/>
          <c:order val="2"/>
          <c:tx>
            <c:v>Q3</c:v>
          </c:tx>
          <c:spPr>
            <a:ln w="25400">
              <a:prstDash val="lgDash"/>
            </a:ln>
          </c:spPr>
          <c:marker>
            <c:symbol val="none"/>
          </c:marker>
          <c:xVal>
            <c:numRef>
              <c:f>Proracun!$B$11:$B$31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Proracun!$Q$11:$Q$31</c:f>
              <c:numCache>
                <c:formatCode>0.000</c:formatCode>
                <c:ptCount val="21"/>
                <c:pt idx="0">
                  <c:v>5.7000000000000002E-2</c:v>
                </c:pt>
                <c:pt idx="1">
                  <c:v>5.7000000000000002E-2</c:v>
                </c:pt>
                <c:pt idx="2">
                  <c:v>5.7000000000000002E-2</c:v>
                </c:pt>
                <c:pt idx="3">
                  <c:v>5.7000000000000002E-2</c:v>
                </c:pt>
                <c:pt idx="4">
                  <c:v>3.276351489354469E-2</c:v>
                </c:pt>
                <c:pt idx="5">
                  <c:v>3.016128956912963E-2</c:v>
                </c:pt>
                <c:pt idx="6">
                  <c:v>2.9909182564072614E-2</c:v>
                </c:pt>
                <c:pt idx="7">
                  <c:v>2.9293345535389793E-2</c:v>
                </c:pt>
                <c:pt idx="8">
                  <c:v>2.2512872917192575E-2</c:v>
                </c:pt>
                <c:pt idx="9">
                  <c:v>2.1620011060855711E-2</c:v>
                </c:pt>
                <c:pt idx="10">
                  <c:v>2.1282845468131532E-2</c:v>
                </c:pt>
                <c:pt idx="11">
                  <c:v>2.0713895379433047E-2</c:v>
                </c:pt>
                <c:pt idx="12">
                  <c:v>1.7430937821042897E-2</c:v>
                </c:pt>
                <c:pt idx="13">
                  <c:v>1.6819116502751631E-2</c:v>
                </c:pt>
                <c:pt idx="14">
                  <c:v>1.6449221654308392E-2</c:v>
                </c:pt>
                <c:pt idx="15">
                  <c:v>1.5948302378212147E-2</c:v>
                </c:pt>
                <c:pt idx="16">
                  <c:v>1.3967450498395918E-2</c:v>
                </c:pt>
                <c:pt idx="17">
                  <c:v>1.3470723793854609E-2</c:v>
                </c:pt>
                <c:pt idx="18">
                  <c:v>1.3106383210697162E-2</c:v>
                </c:pt>
                <c:pt idx="19">
                  <c:v>1.2661756601853168E-2</c:v>
                </c:pt>
                <c:pt idx="20">
                  <c:v>1.1294272421153339E-2</c:v>
                </c:pt>
              </c:numCache>
            </c:numRef>
          </c:yVal>
          <c:smooth val="1"/>
        </c:ser>
        <c:axId val="96253440"/>
        <c:axId val="96874496"/>
      </c:scatterChart>
      <c:valAx>
        <c:axId val="96253440"/>
        <c:scaling>
          <c:orientation val="minMax"/>
          <c:max val="2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6874496"/>
        <c:crosses val="autoZero"/>
        <c:crossBetween val="midCat"/>
      </c:valAx>
      <c:valAx>
        <c:axId val="96874496"/>
        <c:scaling>
          <c:orientation val="minMax"/>
          <c:max val="6.0000000000000005E-2"/>
          <c:min val="1.0000000000000002E-2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</a:t>
                </a:r>
                <a:r>
                  <a:rPr lang="en-US" baseline="30000"/>
                  <a:t>3</a:t>
                </a:r>
                <a:r>
                  <a:rPr lang="en-US"/>
                  <a:t>/s]</a:t>
                </a:r>
              </a:p>
            </c:rich>
          </c:tx>
          <c:layout/>
        </c:title>
        <c:numFmt formatCode="0.000" sourceLinked="1"/>
        <c:majorTickMark val="none"/>
        <c:tickLblPos val="nextTo"/>
        <c:crossAx val="962534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944315062192244"/>
          <c:y val="0.31911123314557821"/>
          <c:w val="0.12415162785314381"/>
          <c:h val="0.13167312432388456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Promena</a:t>
            </a:r>
            <a:r>
              <a:rPr lang="en-US" baseline="0"/>
              <a:t> zapremine vazduha u kazanu</a:t>
            </a:r>
            <a:endParaRPr lang="en-US"/>
          </a:p>
        </c:rich>
      </c:tx>
      <c:layout/>
    </c:title>
    <c:plotArea>
      <c:layout/>
      <c:scatterChart>
        <c:scatterStyle val="smoothMarker"/>
        <c:ser>
          <c:idx val="0"/>
          <c:order val="0"/>
          <c:spPr>
            <a:ln w="25400"/>
          </c:spPr>
          <c:marker>
            <c:symbol val="none"/>
          </c:marker>
          <c:xVal>
            <c:numRef>
              <c:f>Proracun!$B$11:$B$31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Proracun!$C$11:$C$31</c:f>
              <c:numCache>
                <c:formatCode>0.00</c:formatCode>
                <c:ptCount val="21"/>
                <c:pt idx="0">
                  <c:v>0.2</c:v>
                </c:pt>
                <c:pt idx="1">
                  <c:v>0.2</c:v>
                </c:pt>
                <c:pt idx="2">
                  <c:v>0.25700000000000001</c:v>
                </c:pt>
                <c:pt idx="3">
                  <c:v>0.2984027527495921</c:v>
                </c:pt>
                <c:pt idx="4">
                  <c:v>0.3382020089444065</c:v>
                </c:pt>
                <c:pt idx="5">
                  <c:v>0.37684608124822494</c:v>
                </c:pt>
                <c:pt idx="6">
                  <c:v>0.41684559526419274</c:v>
                </c:pt>
                <c:pt idx="7">
                  <c:v>0.44272098444159447</c:v>
                </c:pt>
                <c:pt idx="8">
                  <c:v>0.46787510724232373</c:v>
                </c:pt>
                <c:pt idx="9">
                  <c:v>0.49265433729926889</c:v>
                </c:pt>
                <c:pt idx="10">
                  <c:v>0.51707552760544506</c:v>
                </c:pt>
                <c:pt idx="11">
                  <c:v>0.53658196741959863</c:v>
                </c:pt>
                <c:pt idx="12">
                  <c:v>0.55551706668883671</c:v>
                </c:pt>
                <c:pt idx="13">
                  <c:v>0.5740610086171738</c:v>
                </c:pt>
                <c:pt idx="14">
                  <c:v>0.59214738560202129</c:v>
                </c:pt>
                <c:pt idx="15">
                  <c:v>0.60762819756359321</c:v>
                </c:pt>
                <c:pt idx="16">
                  <c:v>0.62261861496816329</c:v>
                </c:pt>
                <c:pt idx="17">
                  <c:v>0.63722672033660377</c:v>
                </c:pt>
                <c:pt idx="18">
                  <c:v>0.65139687831053938</c:v>
                </c:pt>
                <c:pt idx="19">
                  <c:v>0.66390175267201501</c:v>
                </c:pt>
                <c:pt idx="20">
                  <c:v>0.67597218563368722</c:v>
                </c:pt>
              </c:numCache>
            </c:numRef>
          </c:yVal>
          <c:smooth val="1"/>
        </c:ser>
        <c:dLbls/>
        <c:axId val="102086912"/>
        <c:axId val="100647680"/>
      </c:scatterChart>
      <c:valAx>
        <c:axId val="102086912"/>
        <c:scaling>
          <c:orientation val="minMax"/>
          <c:max val="2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00647680"/>
        <c:crosses val="autoZero"/>
        <c:crossBetween val="midCat"/>
      </c:valAx>
      <c:valAx>
        <c:axId val="100647680"/>
        <c:scaling>
          <c:orientation val="minMax"/>
          <c:max val="0.70000000000000007"/>
          <c:min val="0.1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[m3/s]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102086912"/>
        <c:crosses val="autoZero"/>
        <c:crossBetween val="midCat"/>
      </c:valAx>
    </c:plotArea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25" right="0.25" top="1" bottom="0.25" header="0" footer="0"/>
  <pageSetup paperSize="9" orientation="landscape" horizontalDpi="300" verticalDpi="300" copies="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25" right="0.25" top="1" bottom="0.25" header="0" footer="0"/>
  <pageSetup paperSize="9" orientation="landscape" horizontalDpi="300" verticalDpi="300" copies="0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25" right="0.25" top="1" bottom="0.25" header="0" footer="0"/>
  <pageSetup paperSize="9" orientation="landscape" horizontalDpi="300" verticalDpi="300" copies="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748393" y="56696"/>
    <xdr:ext cx="8674554" cy="56469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816429" y="0"/>
    <xdr:ext cx="8674554" cy="549955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725714" y="0"/>
    <xdr:ext cx="8674554" cy="55449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tabSelected="1" workbookViewId="0">
      <selection activeCell="L4" sqref="L4"/>
    </sheetView>
  </sheetViews>
  <sheetFormatPr defaultRowHeight="15"/>
  <cols>
    <col min="1" max="1" width="7.7109375" customWidth="1"/>
    <col min="2" max="2" width="6.85546875" customWidth="1"/>
    <col min="3" max="3" width="8" customWidth="1"/>
    <col min="4" max="4" width="10.7109375" customWidth="1"/>
    <col min="5" max="5" width="8.28515625" customWidth="1"/>
    <col min="6" max="6" width="8" customWidth="1"/>
    <col min="7" max="7" width="7.7109375" customWidth="1"/>
    <col min="8" max="8" width="9" customWidth="1"/>
    <col min="9" max="9" width="9.140625" customWidth="1"/>
    <col min="10" max="10" width="8.28515625" customWidth="1"/>
    <col min="11" max="11" width="8.5703125" customWidth="1"/>
    <col min="12" max="12" width="8.28515625" customWidth="1"/>
    <col min="13" max="13" width="8" customWidth="1"/>
    <col min="14" max="14" width="8.5703125" customWidth="1"/>
    <col min="15" max="16" width="7.7109375" customWidth="1"/>
    <col min="17" max="17" width="8.5703125" customWidth="1"/>
  </cols>
  <sheetData>
    <row r="1" spans="1:17" ht="16.5" thickTop="1" thickBot="1">
      <c r="B1" s="34" t="s">
        <v>0</v>
      </c>
      <c r="C1" s="15">
        <v>6.8</v>
      </c>
      <c r="D1" s="35" t="s">
        <v>1</v>
      </c>
      <c r="E1" s="15">
        <v>11.4</v>
      </c>
      <c r="G1" s="2"/>
      <c r="H1" s="2"/>
      <c r="I1" s="2"/>
      <c r="J1" s="2"/>
      <c r="K1" s="2"/>
      <c r="L1" s="2"/>
      <c r="M1" s="2"/>
      <c r="N1" s="2"/>
    </row>
    <row r="2" spans="1:17" ht="16.5" thickTop="1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7" ht="18.75" thickTop="1">
      <c r="A3" s="28" t="s">
        <v>29</v>
      </c>
      <c r="B3" s="7">
        <f>5*E1</f>
        <v>57</v>
      </c>
      <c r="C3" s="28" t="s">
        <v>31</v>
      </c>
      <c r="D3" s="7">
        <v>200</v>
      </c>
      <c r="E3" s="28" t="s">
        <v>34</v>
      </c>
      <c r="F3" s="7">
        <v>1</v>
      </c>
      <c r="G3" s="32" t="s">
        <v>39</v>
      </c>
      <c r="H3" s="7">
        <v>1</v>
      </c>
      <c r="I3" s="28" t="s">
        <v>15</v>
      </c>
      <c r="J3" s="13">
        <f>B5/(9.81*D7)</f>
        <v>3244.7490946359903</v>
      </c>
      <c r="L3" s="2"/>
    </row>
    <row r="4" spans="1:17" ht="18.75">
      <c r="A4" s="29" t="s">
        <v>30</v>
      </c>
      <c r="B4" s="8">
        <v>0.2</v>
      </c>
      <c r="C4" s="29" t="s">
        <v>32</v>
      </c>
      <c r="D4" s="8">
        <v>2020</v>
      </c>
      <c r="E4" s="29" t="s">
        <v>35</v>
      </c>
      <c r="F4" s="11">
        <f>(F3^2)*PI()/4</f>
        <v>0.78539816339744828</v>
      </c>
      <c r="G4" s="31" t="s">
        <v>40</v>
      </c>
      <c r="H4" s="8">
        <v>5</v>
      </c>
      <c r="I4" s="29" t="s">
        <v>16</v>
      </c>
      <c r="J4" s="14">
        <f>D6*B5*B7/((D3/1000)*2*9.81*D7^2)</f>
        <v>7746.2678625640483</v>
      </c>
      <c r="L4" s="2"/>
    </row>
    <row r="5" spans="1:17" ht="18.75" thickBot="1">
      <c r="A5" s="29" t="s">
        <v>2</v>
      </c>
      <c r="B5" s="8">
        <v>1000</v>
      </c>
      <c r="C5" s="31" t="s">
        <v>4</v>
      </c>
      <c r="D5" s="8">
        <v>1000</v>
      </c>
      <c r="E5" s="29" t="s">
        <v>36</v>
      </c>
      <c r="F5" s="8">
        <v>50</v>
      </c>
      <c r="G5" s="33" t="s">
        <v>41</v>
      </c>
      <c r="H5" s="12">
        <f>H4-H3+D6*(D4/(D3/1000))*(((B3/1000)^2)/(2*9.81*(D7^2)))</f>
        <v>54.838601056650603</v>
      </c>
      <c r="I5" s="33" t="s">
        <v>17</v>
      </c>
      <c r="J5" s="12">
        <f>F7/(2*9.81*F6^2)</f>
        <v>19830.445728163966</v>
      </c>
      <c r="L5" s="2"/>
    </row>
    <row r="6" spans="1:17" ht="19.5" thickTop="1">
      <c r="A6" s="29"/>
      <c r="B6" s="8"/>
      <c r="C6" s="31" t="s">
        <v>3</v>
      </c>
      <c r="D6" s="8">
        <v>0.03</v>
      </c>
      <c r="E6" s="29" t="s">
        <v>37</v>
      </c>
      <c r="F6" s="11">
        <f>((F5/1000)^2)*PI()/4</f>
        <v>1.9634954084936209E-3</v>
      </c>
      <c r="G6" s="5"/>
      <c r="H6" s="5"/>
      <c r="I6" s="6"/>
      <c r="J6" s="6"/>
      <c r="K6" s="2"/>
      <c r="L6" s="2"/>
      <c r="M6" s="2"/>
      <c r="N6" s="2"/>
    </row>
    <row r="7" spans="1:17" ht="19.5" thickBot="1">
      <c r="A7" s="30" t="s">
        <v>14</v>
      </c>
      <c r="B7" s="9">
        <v>1</v>
      </c>
      <c r="C7" s="30" t="s">
        <v>33</v>
      </c>
      <c r="D7" s="10">
        <f>((D3/1000)^2)*PI()/4</f>
        <v>3.1415926535897934E-2</v>
      </c>
      <c r="E7" s="30" t="s">
        <v>38</v>
      </c>
      <c r="F7" s="9">
        <v>1.5</v>
      </c>
      <c r="G7" s="5"/>
      <c r="H7" s="5"/>
      <c r="I7" s="6"/>
      <c r="J7" s="6"/>
      <c r="K7" s="2"/>
      <c r="L7" s="2"/>
      <c r="M7" s="2"/>
      <c r="N7" s="2"/>
    </row>
    <row r="8" spans="1:17" ht="15.75" thickTop="1"/>
    <row r="9" spans="1:17" ht="15.75" thickBot="1"/>
    <row r="10" spans="1:17" ht="30" customHeight="1" thickTop="1" thickBot="1">
      <c r="A10" s="45" t="s">
        <v>5</v>
      </c>
      <c r="B10" s="46" t="s">
        <v>6</v>
      </c>
      <c r="C10" s="45" t="s">
        <v>18</v>
      </c>
      <c r="D10" s="47" t="s">
        <v>19</v>
      </c>
      <c r="E10" s="47" t="s">
        <v>20</v>
      </c>
      <c r="F10" s="48" t="s">
        <v>21</v>
      </c>
      <c r="G10" s="49" t="s">
        <v>7</v>
      </c>
      <c r="H10" s="50" t="s">
        <v>22</v>
      </c>
      <c r="I10" s="50" t="s">
        <v>23</v>
      </c>
      <c r="J10" s="48" t="s">
        <v>24</v>
      </c>
      <c r="K10" s="49" t="s">
        <v>8</v>
      </c>
      <c r="L10" s="50" t="s">
        <v>7</v>
      </c>
      <c r="M10" s="50" t="s">
        <v>25</v>
      </c>
      <c r="N10" s="48" t="s">
        <v>26</v>
      </c>
      <c r="O10" s="49" t="s">
        <v>8</v>
      </c>
      <c r="P10" s="50" t="s">
        <v>27</v>
      </c>
      <c r="Q10" s="48" t="s">
        <v>28</v>
      </c>
    </row>
    <row r="11" spans="1:17" ht="15.75" thickTop="1">
      <c r="A11" s="36">
        <v>0</v>
      </c>
      <c r="B11" s="37">
        <v>0</v>
      </c>
      <c r="C11" s="38">
        <f>B4</f>
        <v>0.2</v>
      </c>
      <c r="D11" s="39">
        <f>D38+E38</f>
        <v>63.663994748311218</v>
      </c>
      <c r="E11" s="39">
        <v>2</v>
      </c>
      <c r="F11" s="40">
        <f>J11</f>
        <v>55.335248570941189</v>
      </c>
      <c r="G11" s="41"/>
      <c r="H11" s="42">
        <v>0</v>
      </c>
      <c r="I11" s="42">
        <f>B3/1000</f>
        <v>5.7000000000000002E-2</v>
      </c>
      <c r="J11" s="40">
        <f>$H$3+$H$5-$D$6*(($D$4-2000)/($D$3/1000))*((($B$3/1000)^2)/(2*9.81*($D$7^2)))</f>
        <v>55.335248570941189</v>
      </c>
      <c r="K11" s="41"/>
      <c r="L11" s="43"/>
      <c r="M11" s="39">
        <f>P11+$D$6*($D$5/($D$3/1000))*((($B$3/1000)^2)/(2*9.81*($D$7^2)))</f>
        <v>30.167624285470595</v>
      </c>
      <c r="N11" s="44">
        <f>B3/1000</f>
        <v>5.7000000000000002E-2</v>
      </c>
      <c r="O11" s="41"/>
      <c r="P11" s="39">
        <v>5</v>
      </c>
      <c r="Q11" s="44">
        <f>B3/1000</f>
        <v>5.7000000000000002E-2</v>
      </c>
    </row>
    <row r="12" spans="1:17">
      <c r="A12" s="16">
        <v>1</v>
      </c>
      <c r="B12" s="17">
        <v>1</v>
      </c>
      <c r="C12" s="20">
        <v>0.2</v>
      </c>
      <c r="D12" s="3">
        <f>D11</f>
        <v>63.663994748311218</v>
      </c>
      <c r="E12" s="3">
        <v>2</v>
      </c>
      <c r="F12" s="21">
        <f>F11</f>
        <v>55.335248570941189</v>
      </c>
      <c r="G12" s="20">
        <f>M12-$J$3*N12+$J$4*N11*ABS(N11)</f>
        <v>-129.61544982331026</v>
      </c>
      <c r="H12" s="4">
        <f>-B3/1000</f>
        <v>-5.7000000000000002E-2</v>
      </c>
      <c r="I12" s="4">
        <f>I11</f>
        <v>5.7000000000000002E-2</v>
      </c>
      <c r="J12" s="21">
        <f>J11</f>
        <v>55.335248570941189</v>
      </c>
      <c r="K12" s="20">
        <f>J12+$J$3*I12-$J$4*I12*ABS(I12)</f>
        <v>215.11832267972204</v>
      </c>
      <c r="L12" s="3">
        <f>P12-$J$3*Q12+$J$4*Q12*ABS(Q12)</f>
        <v>-154.78307410878085</v>
      </c>
      <c r="M12" s="3">
        <f>M11</f>
        <v>30.167624285470595</v>
      </c>
      <c r="N12" s="26">
        <f>N11</f>
        <v>5.7000000000000002E-2</v>
      </c>
      <c r="O12" s="20">
        <f>M12+$J$3*N12-$J$4*N12*ABS(N12)</f>
        <v>189.95069839425145</v>
      </c>
      <c r="P12" s="3">
        <v>5</v>
      </c>
      <c r="Q12" s="26">
        <f>Q11</f>
        <v>5.7000000000000002E-2</v>
      </c>
    </row>
    <row r="13" spans="1:17">
      <c r="A13" s="16">
        <v>2</v>
      </c>
      <c r="B13" s="17">
        <v>2</v>
      </c>
      <c r="C13" s="20">
        <f>C12-H12*$B$7</f>
        <v>0.25700000000000001</v>
      </c>
      <c r="D13" s="3">
        <f>$H$38/(C13^1.2)</f>
        <v>47.120526325513083</v>
      </c>
      <c r="E13" s="3">
        <f>E12+H12*$B$7/$F$4</f>
        <v>1.9274253459500956</v>
      </c>
      <c r="F13" s="21">
        <f>E13+D13-$E$38</f>
        <v>38.719205494093153</v>
      </c>
      <c r="G13" s="20">
        <f>M13-$J$3*N13+$J$4*N12*ABS(N12)</f>
        <v>-129.61544982331026</v>
      </c>
      <c r="H13" s="4">
        <f>SIGN(G12-F13)*(-$J$3+SQRT(($J$3^2)+4*$J$5*ABS(G12-F13)))/(2*$J$5)</f>
        <v>-4.1402752749592091E-2</v>
      </c>
      <c r="I13" s="4">
        <f>-H13</f>
        <v>4.1402752749592091E-2</v>
      </c>
      <c r="J13" s="21">
        <f>G12+$J$3*I13</f>
        <v>4.7260946763664435</v>
      </c>
      <c r="K13" s="20">
        <f>J13+$J$3*I13-$J$4*I13*ABS(I13)</f>
        <v>125.78908026286865</v>
      </c>
      <c r="L13" s="3">
        <f>P13-$J$3*Q13+$J$4*Q13*ABS(Q13)</f>
        <v>-154.78307410878085</v>
      </c>
      <c r="M13" s="3">
        <f>0.5*(K12+L12)</f>
        <v>30.167624285470595</v>
      </c>
      <c r="N13" s="26">
        <f>(M13-L12)/$J$3</f>
        <v>5.7000000000000002E-2</v>
      </c>
      <c r="O13" s="20">
        <f>M13+$J$3*N13-$J$4*N13*ABS(N13)</f>
        <v>189.95069839425145</v>
      </c>
      <c r="P13" s="3">
        <v>5</v>
      </c>
      <c r="Q13" s="26">
        <f>(O12-P13)/$J$3</f>
        <v>5.7000000000000002E-2</v>
      </c>
    </row>
    <row r="14" spans="1:17">
      <c r="A14" s="16">
        <v>3</v>
      </c>
      <c r="B14" s="17">
        <v>3</v>
      </c>
      <c r="C14" s="20">
        <f>C13-H13*$B$7</f>
        <v>0.2984027527495921</v>
      </c>
      <c r="D14" s="3">
        <f t="shared" ref="D14:D31" si="0">$H$38/(C14^1.2)</f>
        <v>39.388232298619222</v>
      </c>
      <c r="E14" s="3">
        <f>E13+H13*$B$7/$F$4</f>
        <v>1.8747097238884225</v>
      </c>
      <c r="F14" s="21">
        <f t="shared" ref="F14:F31" si="1">E14+D14-$E$38</f>
        <v>30.934195845137616</v>
      </c>
      <c r="G14" s="20">
        <f>M14-$J$3*N14+$J$4*N13*ABS(N13)</f>
        <v>-129.61544982331026</v>
      </c>
      <c r="H14" s="4">
        <f>SIGN(G13-F14)*(-$J$3+SQRT(($J$3^2)+4*$J$5*ABS(G13-F14)))/(2*$J$5)</f>
        <v>-3.9799256194814385E-2</v>
      </c>
      <c r="I14" s="4">
        <f t="shared" ref="I14:I31" si="2">-H14</f>
        <v>3.9799256194814385E-2</v>
      </c>
      <c r="J14" s="21">
        <f>G13+$J$3*I14</f>
        <v>-0.47684931800046115</v>
      </c>
      <c r="K14" s="20">
        <f>J14+$J$3*I14-$J$4*I14*ABS(I14)</f>
        <v>116.39181167045854</v>
      </c>
      <c r="L14" s="3">
        <f>P14-$J$3*Q14+$J$4*Q14*ABS(Q14)</f>
        <v>-154.78307410878085</v>
      </c>
      <c r="M14" s="3">
        <f t="shared" ref="M14:M31" si="3">0.5*(K13+L13)</f>
        <v>-14.4969969229561</v>
      </c>
      <c r="N14" s="26">
        <f>(M14-L13)/$J$3</f>
        <v>4.3234799700764735E-2</v>
      </c>
      <c r="O14" s="20">
        <f>M14+$J$3*N14-$J$4*N14*ABS(N14)</f>
        <v>111.30938528792193</v>
      </c>
      <c r="P14" s="3">
        <v>5</v>
      </c>
      <c r="Q14" s="26">
        <f>(O13-P14)/$J$3</f>
        <v>5.7000000000000002E-2</v>
      </c>
    </row>
    <row r="15" spans="1:17">
      <c r="A15" s="16">
        <v>4</v>
      </c>
      <c r="B15" s="17">
        <v>4</v>
      </c>
      <c r="C15" s="20">
        <f>C14-H14*$B$7</f>
        <v>0.3382020089444065</v>
      </c>
      <c r="D15" s="3">
        <f t="shared" si="0"/>
        <v>33.893659421747834</v>
      </c>
      <c r="E15" s="3">
        <f>E14+H14*$B$7/$F$4</f>
        <v>1.824035737050139</v>
      </c>
      <c r="F15" s="21">
        <f t="shared" si="1"/>
        <v>25.388948981427944</v>
      </c>
      <c r="G15" s="20">
        <f>M15-$J$3*N15+$J$4*N14*ABS(N14)</f>
        <v>-140.30337913383414</v>
      </c>
      <c r="H15" s="4">
        <f>SIGN(G14-F15)*(-$J$3+SQRT(($J$3^2)+4*$J$5*ABS(G14-F15)))/(2*$J$5)</f>
        <v>-3.8644072303818458E-2</v>
      </c>
      <c r="I15" s="4">
        <f t="shared" si="2"/>
        <v>3.8644072303818458E-2</v>
      </c>
      <c r="J15" s="21">
        <f>G14+$J$3*I15</f>
        <v>-4.2251312024475709</v>
      </c>
      <c r="K15" s="20">
        <f>J15+$J$3*I15-$J$4*I15*ABS(I15)</f>
        <v>109.59718734658875</v>
      </c>
      <c r="L15" s="3">
        <f>P15-$J$3*Q15+$J$4*Q15*ABS(Q15)</f>
        <v>-92.99417025465425</v>
      </c>
      <c r="M15" s="3">
        <f t="shared" si="3"/>
        <v>-19.195631219161157</v>
      </c>
      <c r="N15" s="26">
        <f>(M15-L14)/$J$3</f>
        <v>4.1786726472553486E-2</v>
      </c>
      <c r="O15" s="20">
        <f>M15+$J$3*N15-$J$4*N15*ABS(N15)</f>
        <v>102.86581702248731</v>
      </c>
      <c r="P15" s="3">
        <v>5</v>
      </c>
      <c r="Q15" s="26">
        <f>(O14-P15)/$J$3</f>
        <v>3.276351489354469E-2</v>
      </c>
    </row>
    <row r="16" spans="1:17">
      <c r="A16" s="16">
        <v>5</v>
      </c>
      <c r="B16" s="17">
        <v>5</v>
      </c>
      <c r="C16" s="20">
        <f>C15-H15*$B$7</f>
        <v>0.37684608124822494</v>
      </c>
      <c r="D16" s="3">
        <f t="shared" si="0"/>
        <v>29.766863544051429</v>
      </c>
      <c r="E16" s="3">
        <f>E15+H15*$B$7/$F$4</f>
        <v>1.7748325760233126</v>
      </c>
      <c r="F16" s="21">
        <f t="shared" si="1"/>
        <v>21.212949942704711</v>
      </c>
      <c r="G16" s="20">
        <f>M16-$J$3*N16+$J$4*N15*ABS(N15)</f>
        <v>-79.468175606683019</v>
      </c>
      <c r="H16" s="4">
        <f>SIGN(G15-F16)*(-$J$3+SQRT(($J$3^2)+4*$J$5*ABS(G15-F16)))/(2*$J$5)</f>
        <v>-3.9999514015967776E-2</v>
      </c>
      <c r="I16" s="4">
        <f t="shared" si="2"/>
        <v>3.9999514015967776E-2</v>
      </c>
      <c r="J16" s="21">
        <f>G15+$J$3*I16</f>
        <v>-10.514992244643082</v>
      </c>
      <c r="K16" s="20">
        <f>J16+$J$3*I16-$J$4*I16*ABS(I16)</f>
        <v>106.87966722761523</v>
      </c>
      <c r="L16" s="3">
        <f>P16-$J$3*Q16+$J$4*Q16*ABS(Q16)</f>
        <v>-85.819010899894153</v>
      </c>
      <c r="M16" s="3">
        <f t="shared" si="3"/>
        <v>8.301508545967252</v>
      </c>
      <c r="N16" s="26">
        <f>(M16-L15)/$J$3</f>
        <v>3.1218339491357584E-2</v>
      </c>
      <c r="O16" s="20">
        <f>M16+$J$3*N16-$J$4*N16*ABS(N16)</f>
        <v>102.04779304607716</v>
      </c>
      <c r="P16" s="3">
        <v>5</v>
      </c>
      <c r="Q16" s="26">
        <f>(O15-P16)/$J$3</f>
        <v>3.016128956912963E-2</v>
      </c>
    </row>
    <row r="17" spans="1:17">
      <c r="A17" s="16">
        <v>6</v>
      </c>
      <c r="B17" s="17">
        <v>6</v>
      </c>
      <c r="C17" s="20">
        <f>C16-H16*$B$7</f>
        <v>0.41684559526419274</v>
      </c>
      <c r="D17" s="3">
        <f t="shared" si="0"/>
        <v>26.37300521693053</v>
      </c>
      <c r="E17" s="3">
        <f>E16+H16*$B$7/$F$4</f>
        <v>1.7239036130079941</v>
      </c>
      <c r="F17" s="21">
        <f t="shared" si="1"/>
        <v>17.768162652568492</v>
      </c>
      <c r="G17" s="20">
        <f>M17-$J$3*N17+$J$4*N16*ABS(N16)</f>
        <v>-78.269616599382559</v>
      </c>
      <c r="H17" s="4">
        <f>SIGN(G16-F17)*(-$J$3+SQRT(($J$3^2)+4*$J$5*ABS(G16-F17)))/(2*$J$5)</f>
        <v>-2.5875389177401724E-2</v>
      </c>
      <c r="I17" s="4">
        <f t="shared" si="2"/>
        <v>2.5875389177401724E-2</v>
      </c>
      <c r="J17" s="21">
        <f>G16+$J$3*I17</f>
        <v>4.4909700000451238</v>
      </c>
      <c r="K17" s="20">
        <f>J17+$J$3*I17-$J$4*I17*ABS(I17)</f>
        <v>83.263712226881353</v>
      </c>
      <c r="L17" s="3">
        <f>P17-$J$3*Q17+$J$4*Q17*ABS(Q17)</f>
        <v>-85.118297851166872</v>
      </c>
      <c r="M17" s="3">
        <f t="shared" si="3"/>
        <v>10.530328163860538</v>
      </c>
      <c r="N17" s="26">
        <f>(M17-L16)/$J$3</f>
        <v>2.9693925864108628E-2</v>
      </c>
      <c r="O17" s="20">
        <f>M17+$J$3*N17-$J$4*N17*ABS(N17)</f>
        <v>100.04955640481526</v>
      </c>
      <c r="P17" s="3">
        <v>5</v>
      </c>
      <c r="Q17" s="26">
        <f>(O16-P17)/$J$3</f>
        <v>2.9909182564072614E-2</v>
      </c>
    </row>
    <row r="18" spans="1:17">
      <c r="A18" s="16">
        <v>7</v>
      </c>
      <c r="B18" s="17">
        <v>7</v>
      </c>
      <c r="C18" s="20">
        <f>C17-H17*$B$7</f>
        <v>0.44272098444159447</v>
      </c>
      <c r="D18" s="3">
        <f t="shared" si="0"/>
        <v>24.534304538803077</v>
      </c>
      <c r="E18" s="3">
        <f>E17+H17*$B$7/$F$4</f>
        <v>1.6909580442719139</v>
      </c>
      <c r="F18" s="21">
        <f t="shared" si="1"/>
        <v>15.896516405704959</v>
      </c>
      <c r="G18" s="20">
        <f>M18-$J$3*N18+$J$4*N17*ABS(N17)</f>
        <v>-78.288187028366906</v>
      </c>
      <c r="H18" s="4">
        <f>SIGN(G17-F18)*(-$J$3+SQRT(($J$3^2)+4*$J$5*ABS(G17-F18)))/(2*$J$5)</f>
        <v>-2.5154122800729279E-2</v>
      </c>
      <c r="I18" s="4">
        <f t="shared" si="2"/>
        <v>2.5154122800729279E-2</v>
      </c>
      <c r="J18" s="21">
        <f>G17+$J$3*I18</f>
        <v>3.3492005846462973</v>
      </c>
      <c r="K18" s="20">
        <f>J18+$J$3*I18-$J$4*I18*ABS(I18)</f>
        <v>80.066722526074116</v>
      </c>
      <c r="L18" s="3">
        <f>P18-$J$3*Q18+$J$4*Q18*ABS(Q18)</f>
        <v>-83.402483234212866</v>
      </c>
      <c r="M18" s="3">
        <f t="shared" si="3"/>
        <v>-0.92729281214275971</v>
      </c>
      <c r="N18" s="26">
        <f>(M18-L17)/$J$3</f>
        <v>2.5946845991328956E-2</v>
      </c>
      <c r="O18" s="20">
        <f>M18+$J$3*N18-$J$4*N18*ABS(N18)</f>
        <v>78.048624015715717</v>
      </c>
      <c r="P18" s="3">
        <v>5</v>
      </c>
      <c r="Q18" s="26">
        <f>(O17-P18)/$J$3</f>
        <v>2.9293345535389793E-2</v>
      </c>
    </row>
    <row r="19" spans="1:17">
      <c r="A19" s="16">
        <v>8</v>
      </c>
      <c r="B19" s="17">
        <v>8</v>
      </c>
      <c r="C19" s="20">
        <f>C18-H18*$B$7</f>
        <v>0.46787510724232373</v>
      </c>
      <c r="D19" s="3">
        <f t="shared" si="0"/>
        <v>22.960109406425641</v>
      </c>
      <c r="E19" s="3">
        <f>E18+H18*$B$7/$F$4</f>
        <v>1.6589308204089011</v>
      </c>
      <c r="F19" s="21">
        <f t="shared" si="1"/>
        <v>14.290294049464512</v>
      </c>
      <c r="G19" s="20">
        <f>M19-$J$3*N19+$J$4*N18*ABS(N18)</f>
        <v>-78.18739502304723</v>
      </c>
      <c r="H19" s="4">
        <f>SIGN(G18-F19)*(-$J$3+SQRT(($J$3^2)+4*$J$5*ABS(G18-F19)))/(2*$J$5)</f>
        <v>-2.4779230056945174E-2</v>
      </c>
      <c r="I19" s="4">
        <f t="shared" si="2"/>
        <v>2.4779230056945174E-2</v>
      </c>
      <c r="J19" s="21">
        <f>G18+$J$3*I19</f>
        <v>2.1141972646828719</v>
      </c>
      <c r="K19" s="20">
        <f>J19+$J$3*I19-$J$4*I19*ABS(I19)</f>
        <v>77.760293751177315</v>
      </c>
      <c r="L19" s="3">
        <f>P19-$J$3*Q19+$J$4*Q19*ABS(Q19)</f>
        <v>-64.122587358729561</v>
      </c>
      <c r="M19" s="3">
        <f t="shared" si="3"/>
        <v>-1.667880354069375</v>
      </c>
      <c r="N19" s="26">
        <f>(M19-L18)/$J$3</f>
        <v>2.5189806822124353E-2</v>
      </c>
      <c r="O19" s="20">
        <f>M19+$J$3*N19-$J$4*N19*ABS(N19)</f>
        <v>75.151511315731668</v>
      </c>
      <c r="P19" s="3">
        <v>5</v>
      </c>
      <c r="Q19" s="26">
        <f>(O18-P19)/$J$3</f>
        <v>2.2512872917192575E-2</v>
      </c>
    </row>
    <row r="20" spans="1:17">
      <c r="A20" s="16">
        <v>9</v>
      </c>
      <c r="B20" s="17">
        <v>9</v>
      </c>
      <c r="C20" s="20">
        <f>C19-H19*$B$7</f>
        <v>0.49265433729926889</v>
      </c>
      <c r="D20" s="3">
        <f t="shared" si="0"/>
        <v>21.581374843544697</v>
      </c>
      <c r="E20" s="3">
        <f>E19+H19*$B$7/$F$4</f>
        <v>1.6273809248123083</v>
      </c>
      <c r="F20" s="21">
        <f t="shared" si="1"/>
        <v>12.880009590986974</v>
      </c>
      <c r="G20" s="20">
        <f>M20-$J$3*N20+$J$4*N19*ABS(N19)</f>
        <v>-59.207376148387134</v>
      </c>
      <c r="H20" s="4">
        <f>SIGN(G19-F20)*(-$J$3+SQRT(($J$3^2)+4*$J$5*ABS(G19-F20)))/(2*$J$5)</f>
        <v>-2.4421190306176128E-2</v>
      </c>
      <c r="I20" s="4">
        <f t="shared" si="2"/>
        <v>2.4421190306176128E-2</v>
      </c>
      <c r="J20" s="21">
        <f>G19+$J$3*I20</f>
        <v>1.0532401128509861</v>
      </c>
      <c r="K20" s="20">
        <f>J20+$J$3*I20-$J$4*I20*ABS(I20)</f>
        <v>75.674043421352351</v>
      </c>
      <c r="L20" s="3">
        <f>P20-$J$3*Q20+$J$4*Q20*ABS(Q20)</f>
        <v>-61.530713003014057</v>
      </c>
      <c r="M20" s="3">
        <f t="shared" si="3"/>
        <v>6.818853196223877</v>
      </c>
      <c r="N20" s="26">
        <f>(M20-L19)/$J$3</f>
        <v>2.1863459542135089E-2</v>
      </c>
      <c r="O20" s="20">
        <f>M20+$J$3*N20-$J$4*N20*ABS(N20)</f>
        <v>74.057493563997483</v>
      </c>
      <c r="P20" s="3">
        <v>5</v>
      </c>
      <c r="Q20" s="26">
        <f>(O19-P20)/$J$3</f>
        <v>2.1620011060855711E-2</v>
      </c>
    </row>
    <row r="21" spans="1:17">
      <c r="A21" s="16">
        <v>10</v>
      </c>
      <c r="B21" s="17">
        <v>10</v>
      </c>
      <c r="C21" s="20">
        <f>C20-H20*$B$7</f>
        <v>0.51707552760544506</v>
      </c>
      <c r="D21" s="3">
        <f t="shared" si="0"/>
        <v>20.364094337488645</v>
      </c>
      <c r="E21" s="3">
        <f>E20+H20*$B$7/$F$4</f>
        <v>1.5962868995849819</v>
      </c>
      <c r="F21" s="21">
        <f t="shared" si="1"/>
        <v>11.631635059703596</v>
      </c>
      <c r="G21" s="20">
        <f>M21-$J$3*N21+$J$4*N20*ABS(N20)</f>
        <v>-57.827912815834225</v>
      </c>
      <c r="H21" s="4">
        <f>SIGN(G20-F21)*(-$J$3+SQRT(($J$3^2)+4*$J$5*ABS(G20-F21)))/(2*$J$5)</f>
        <v>-1.950643981415353E-2</v>
      </c>
      <c r="I21" s="4">
        <f t="shared" si="2"/>
        <v>1.950643981415353E-2</v>
      </c>
      <c r="J21" s="21">
        <f>G20+$J$3*I21</f>
        <v>4.0861267781589703</v>
      </c>
      <c r="K21" s="20">
        <f>J21+$J$3*I21-$J$4*I21*ABS(I21)</f>
        <v>64.432165532226719</v>
      </c>
      <c r="L21" s="3">
        <f>P21-$J$3*Q21+$J$4*Q21*ABS(Q21)</f>
        <v>-60.548747859188438</v>
      </c>
      <c r="M21" s="3">
        <f t="shared" si="3"/>
        <v>7.0716652091691472</v>
      </c>
      <c r="N21" s="26">
        <f>(M21-L20)/$J$3</f>
        <v>2.1142583358938975E-2</v>
      </c>
      <c r="O21" s="20">
        <f>M21+$J$3*N21-$J$4*N21*ABS(N21)</f>
        <v>72.211393278800003</v>
      </c>
      <c r="P21" s="3">
        <v>5</v>
      </c>
      <c r="Q21" s="26">
        <f>(O20-P21)/$J$3</f>
        <v>2.1282845468131532E-2</v>
      </c>
    </row>
    <row r="22" spans="1:17">
      <c r="A22" s="16">
        <v>11</v>
      </c>
      <c r="B22" s="17">
        <v>11</v>
      </c>
      <c r="C22" s="20">
        <f>C21-H21*$B$7</f>
        <v>0.53658196741959863</v>
      </c>
      <c r="D22" s="3">
        <f t="shared" si="0"/>
        <v>19.478997083060609</v>
      </c>
      <c r="E22" s="3">
        <f>E21+H21*$B$7/$F$4</f>
        <v>1.5714505290366052</v>
      </c>
      <c r="F22" s="21">
        <f t="shared" si="1"/>
        <v>10.721701434727185</v>
      </c>
      <c r="G22" s="20">
        <f>M22-$J$3*N22+$J$4*N21*ABS(N21)</f>
        <v>-57.086097716636097</v>
      </c>
      <c r="H22" s="4">
        <f>SIGN(G21-F22)*(-$J$3+SQRT(($J$3^2)+4*$J$5*ABS(G21-F22)))/(2*$J$5)</f>
        <v>-1.8935099269238122E-2</v>
      </c>
      <c r="I22" s="4">
        <f t="shared" si="2"/>
        <v>1.8935099269238122E-2</v>
      </c>
      <c r="J22" s="21">
        <f>G21+$J$3*I22</f>
        <v>3.6117333948687715</v>
      </c>
      <c r="K22" s="20">
        <f>J22+$J$3*I22-$J$4*I22*ABS(I22)</f>
        <v>62.274048340002075</v>
      </c>
      <c r="L22" s="3">
        <f>P22-$J$3*Q22+$J$4*Q22*ABS(Q22)</f>
        <v>-58.887737281199165</v>
      </c>
      <c r="M22" s="3">
        <f t="shared" si="3"/>
        <v>1.9417088365191404</v>
      </c>
      <c r="N22" s="26">
        <f>(M22-L21)/$J$3</f>
        <v>1.9258948804088662E-2</v>
      </c>
      <c r="O22" s="20">
        <f>M22+$J$3*N22-$J$4*N22*ABS(N22)</f>
        <v>61.559019713485185</v>
      </c>
      <c r="P22" s="3">
        <v>5</v>
      </c>
      <c r="Q22" s="26">
        <f>(O21-P22)/$J$3</f>
        <v>2.0713895379433047E-2</v>
      </c>
    </row>
    <row r="23" spans="1:17">
      <c r="A23" s="16">
        <v>12</v>
      </c>
      <c r="B23" s="17">
        <v>12</v>
      </c>
      <c r="C23" s="20">
        <f>C22-H22*$B$7</f>
        <v>0.55551706668883671</v>
      </c>
      <c r="D23" s="3">
        <f t="shared" si="0"/>
        <v>18.684995329686789</v>
      </c>
      <c r="E23" s="3">
        <f>E22+H22*$B$7/$F$4</f>
        <v>1.5473416118635253</v>
      </c>
      <c r="F23" s="21">
        <f t="shared" si="1"/>
        <v>9.9035907641802847</v>
      </c>
      <c r="G23" s="20">
        <f>M23-$J$3*N23+$J$4*N22*ABS(N22)</f>
        <v>-56.014591462457631</v>
      </c>
      <c r="H23" s="4">
        <f>SIGN(G22-F23)*(-$J$3+SQRT(($J$3^2)+4*$J$5*ABS(G22-F23)))/(2*$J$5)</f>
        <v>-1.8543941928337093E-2</v>
      </c>
      <c r="I23" s="4">
        <f t="shared" si="2"/>
        <v>1.8543941928337093E-2</v>
      </c>
      <c r="J23" s="21">
        <f>G22+$J$3*I23</f>
        <v>3.0843410663180677</v>
      </c>
      <c r="K23" s="20">
        <f>J23+$J$3*I23-$J$4*I23*ABS(I23)</f>
        <v>60.591010436044805</v>
      </c>
      <c r="L23" s="3">
        <f>P23-$J$3*Q23+$J$4*Q23*ABS(Q23)</f>
        <v>-49.205412328903421</v>
      </c>
      <c r="M23" s="3">
        <f t="shared" si="3"/>
        <v>1.6931555294014551</v>
      </c>
      <c r="N23" s="26">
        <f>(M23-L22)/$J$3</f>
        <v>1.8670439853346144E-2</v>
      </c>
      <c r="O23" s="20">
        <f>M23+$J$3*N23-$J$4*N23*ABS(N23)</f>
        <v>59.573813044880602</v>
      </c>
      <c r="P23" s="3">
        <v>5</v>
      </c>
      <c r="Q23" s="26">
        <f>(O22-P23)/$J$3</f>
        <v>1.7430937821042897E-2</v>
      </c>
    </row>
    <row r="24" spans="1:17">
      <c r="A24" s="16">
        <v>13</v>
      </c>
      <c r="B24" s="17">
        <v>13</v>
      </c>
      <c r="C24" s="20">
        <f>C23-H23*$B$7</f>
        <v>0.5740610086171738</v>
      </c>
      <c r="D24" s="3">
        <f t="shared" si="0"/>
        <v>17.963055888576655</v>
      </c>
      <c r="E24" s="3">
        <f>E23+H23*$B$7/$F$4</f>
        <v>1.5237307316850941</v>
      </c>
      <c r="F24" s="21">
        <f t="shared" si="1"/>
        <v>9.1580404428917195</v>
      </c>
      <c r="G24" s="20">
        <f>M24-$J$3*N24+$J$4*N23*ABS(N23)</f>
        <v>-46.505177033781955</v>
      </c>
      <c r="H24" s="4">
        <f>SIGN(G23-F24)*(-$J$3+SQRT(($J$3^2)+4*$J$5*ABS(G23-F24)))/(2*$J$5)</f>
        <v>-1.8086376984847493E-2</v>
      </c>
      <c r="I24" s="4">
        <f t="shared" si="2"/>
        <v>1.8086376984847493E-2</v>
      </c>
      <c r="J24" s="21">
        <f>G23+$J$3*I24</f>
        <v>2.671163884371488</v>
      </c>
      <c r="K24" s="20">
        <f>J24+$J$3*I24-$J$4*I24*ABS(I24)</f>
        <v>58.82298307552864</v>
      </c>
      <c r="L24" s="3">
        <f>P24-$J$3*Q24+$J$4*Q24*ABS(Q24)</f>
        <v>-47.382528032438579</v>
      </c>
      <c r="M24" s="3">
        <f t="shared" si="3"/>
        <v>5.6927990535706918</v>
      </c>
      <c r="N24" s="26">
        <f>(M24-L23)/$J$3</f>
        <v>1.6919092904048666E-2</v>
      </c>
      <c r="O24" s="20">
        <f>M24+$J$3*N24-$J$4*N24*ABS(N24)</f>
        <v>58.373597070283878</v>
      </c>
      <c r="P24" s="3">
        <v>5</v>
      </c>
      <c r="Q24" s="26">
        <f>(O23-P24)/$J$3</f>
        <v>1.6819116502751631E-2</v>
      </c>
    </row>
    <row r="25" spans="1:17">
      <c r="A25" s="16">
        <v>14</v>
      </c>
      <c r="B25" s="17">
        <v>14</v>
      </c>
      <c r="C25" s="20">
        <f>C24-H24*$B$7</f>
        <v>0.59214738560202129</v>
      </c>
      <c r="D25" s="3">
        <f t="shared" si="0"/>
        <v>17.306693458227763</v>
      </c>
      <c r="E25" s="3">
        <f>E24+H24*$B$7/$F$4</f>
        <v>1.5007024412869983</v>
      </c>
      <c r="F25" s="21">
        <f t="shared" si="1"/>
        <v>8.4786497221447288</v>
      </c>
      <c r="G25" s="20">
        <f>M25-$J$3*N25+$J$4*N24*ABS(N24)</f>
        <v>-45.165114666677653</v>
      </c>
      <c r="H25" s="4">
        <f>SIGN(G24-F25)*(-$J$3+SQRT(($J$3^2)+4*$J$5*ABS(G24-F25)))/(2*$J$5)</f>
        <v>-1.5480811961571944E-2</v>
      </c>
      <c r="I25" s="4">
        <f t="shared" si="2"/>
        <v>1.5480811961571944E-2</v>
      </c>
      <c r="J25" s="21">
        <f>G24+$J$3*I25</f>
        <v>3.7261735627586177</v>
      </c>
      <c r="K25" s="20">
        <f>J25+$J$3*I25-$J$4*I25*ABS(I25)</f>
        <v>52.101088159538982</v>
      </c>
      <c r="L25" s="3">
        <f>P25-$J$3*Q25+$J$4*Q25*ABS(Q25)</f>
        <v>-46.277635979433271</v>
      </c>
      <c r="M25" s="3">
        <f t="shared" si="3"/>
        <v>5.7202275215450307</v>
      </c>
      <c r="N25" s="26">
        <f>(M25-L24)/$J$3</f>
        <v>1.6365750942582791E-2</v>
      </c>
      <c r="O25" s="20">
        <f>M25+$J$3*N25-$J$4*N25*ABS(N25)</f>
        <v>56.74823970268487</v>
      </c>
      <c r="P25" s="3">
        <v>5</v>
      </c>
      <c r="Q25" s="26">
        <f>(O24-P25)/$J$3</f>
        <v>1.6449221654308392E-2</v>
      </c>
    </row>
    <row r="26" spans="1:17">
      <c r="A26" s="16">
        <v>15</v>
      </c>
      <c r="B26" s="17">
        <v>15</v>
      </c>
      <c r="C26" s="20">
        <f>C25-H25*$B$7</f>
        <v>0.60762819756359321</v>
      </c>
      <c r="D26" s="3">
        <f t="shared" si="0"/>
        <v>16.778934448705527</v>
      </c>
      <c r="E26" s="3">
        <f>E25+H25*$B$7/$F$4</f>
        <v>1.4809916593129158</v>
      </c>
      <c r="F26" s="21">
        <f t="shared" si="1"/>
        <v>7.9311799306484136</v>
      </c>
      <c r="G26" s="20">
        <f>M26-$J$3*N26+$J$4*N25*ABS(N25)</f>
        <v>-44.202892606589486</v>
      </c>
      <c r="H26" s="4">
        <f>SIGN(G25-F26)*(-$J$3+SQRT(($J$3^2)+4*$J$5*ABS(G25-F26)))/(2*$J$5)</f>
        <v>-1.4990417404570041E-2</v>
      </c>
      <c r="I26" s="4">
        <f t="shared" si="2"/>
        <v>1.4990417404570041E-2</v>
      </c>
      <c r="J26" s="21">
        <f>G25+$J$3*I26</f>
        <v>3.475028635016578</v>
      </c>
      <c r="K26" s="20">
        <f>J26+$J$3*I26-$J$4*I26*ABS(I26)</f>
        <v>50.374487836854627</v>
      </c>
      <c r="L26" s="3">
        <f>P26-$J$3*Q26+$J$4*Q26*ABS(Q26)</f>
        <v>-44.777989262890635</v>
      </c>
      <c r="M26" s="3">
        <f t="shared" si="3"/>
        <v>2.9117260900528557</v>
      </c>
      <c r="N26" s="26">
        <f>(M26-L25)/$J$3</f>
        <v>1.5159681268053298E-2</v>
      </c>
      <c r="O26" s="20">
        <f>M26+$J$3*N26-$J$4*N26*ABS(N26)</f>
        <v>50.320872359043165</v>
      </c>
      <c r="P26" s="3">
        <v>5</v>
      </c>
      <c r="Q26" s="26">
        <f>(O25-P26)/$J$3</f>
        <v>1.5948302378212147E-2</v>
      </c>
    </row>
    <row r="27" spans="1:17">
      <c r="A27" s="16">
        <v>16</v>
      </c>
      <c r="B27" s="17">
        <v>16</v>
      </c>
      <c r="C27" s="20">
        <f>C26-H26*$B$7</f>
        <v>0.62261861496816329</v>
      </c>
      <c r="D27" s="3">
        <f t="shared" si="0"/>
        <v>16.295337492123412</v>
      </c>
      <c r="E27" s="3">
        <f>E26+H26*$B$7/$F$4</f>
        <v>1.4619052670813308</v>
      </c>
      <c r="F27" s="21">
        <f t="shared" si="1"/>
        <v>7.4284965818347128</v>
      </c>
      <c r="G27" s="20">
        <f>M27-$J$3*N27+$J$4*N26*ABS(N26)</f>
        <v>-42.997773462394818</v>
      </c>
      <c r="H27" s="4">
        <f>SIGN(G26-F27)*(-$J$3+SQRT(($J$3^2)+4*$J$5*ABS(G26-F27)))/(2*$J$5)</f>
        <v>-1.4608105368440441E-2</v>
      </c>
      <c r="I27" s="4">
        <f t="shared" si="2"/>
        <v>1.4608105368440441E-2</v>
      </c>
      <c r="J27" s="21">
        <f>G26+$J$3*I27</f>
        <v>3.1967440620047824</v>
      </c>
      <c r="K27" s="20">
        <f>J27+$J$3*I27-$J$4*I27*ABS(I27)</f>
        <v>48.943352402540476</v>
      </c>
      <c r="L27" s="3">
        <f>P27-$J$3*Q27+$J$4*Q27*ABS(Q27)</f>
        <v>-38.809655491471887</v>
      </c>
      <c r="M27" s="3">
        <f t="shared" si="3"/>
        <v>2.7982492869819957</v>
      </c>
      <c r="N27" s="26">
        <f>(M27-L26)/$J$3</f>
        <v>1.4662532344495478E-2</v>
      </c>
      <c r="O27" s="20">
        <f>M27+$J$3*N27-$J$4*N27*ABS(N27)</f>
        <v>48.709118834201234</v>
      </c>
      <c r="P27" s="3">
        <v>5</v>
      </c>
      <c r="Q27" s="26">
        <f>(O26-P27)/$J$3</f>
        <v>1.3967450498395918E-2</v>
      </c>
    </row>
    <row r="28" spans="1:17">
      <c r="A28" s="16">
        <v>17</v>
      </c>
      <c r="B28" s="17">
        <v>17</v>
      </c>
      <c r="C28" s="20">
        <f>C27-H27*$B$7</f>
        <v>0.63722672033660377</v>
      </c>
      <c r="D28" s="3">
        <f t="shared" si="0"/>
        <v>15.848096487397314</v>
      </c>
      <c r="E28" s="3">
        <f>E27+H27*$B$7/$F$4</f>
        <v>1.4433056496525745</v>
      </c>
      <c r="F28" s="21">
        <f t="shared" si="1"/>
        <v>6.962655959679859</v>
      </c>
      <c r="G28" s="20">
        <f>M28-$J$3*N28+$J$4*N27*ABS(N27)</f>
        <v>-37.144286488818494</v>
      </c>
      <c r="H28" s="4">
        <f>SIGN(G27-F28)*(-$J$3+SQRT(($J$3^2)+4*$J$5*ABS(G27-F28)))/(2*$J$5)</f>
        <v>-1.417015797393564E-2</v>
      </c>
      <c r="I28" s="4">
        <f t="shared" si="2"/>
        <v>1.417015797393564E-2</v>
      </c>
      <c r="J28" s="21">
        <f>G27+$J$3*I28</f>
        <v>2.9808337943818088</v>
      </c>
      <c r="K28" s="20">
        <f>J28+$J$3*I28-$J$4*I28*ABS(I28)</f>
        <v>47.404041767838891</v>
      </c>
      <c r="L28" s="3">
        <f>P28-$J$3*Q28+$J$4*Q28*ABS(Q28)</f>
        <v>-37.30347797299148</v>
      </c>
      <c r="M28" s="3">
        <f t="shared" si="3"/>
        <v>5.066848455534295</v>
      </c>
      <c r="N28" s="26">
        <f>(M28-L27)/$J$3</f>
        <v>1.3522310251828096E-2</v>
      </c>
      <c r="O28" s="20">
        <f>M28+$J$3*N28-$J$4*N28*ABS(N28)</f>
        <v>47.526925056861963</v>
      </c>
      <c r="P28" s="3">
        <v>5</v>
      </c>
      <c r="Q28" s="26">
        <f>(O27-P28)/$J$3</f>
        <v>1.3470723793854609E-2</v>
      </c>
    </row>
    <row r="29" spans="1:17">
      <c r="A29" s="16">
        <v>18</v>
      </c>
      <c r="B29" s="17">
        <v>18</v>
      </c>
      <c r="C29" s="20">
        <f>C28-H28*$B$7</f>
        <v>0.65139687831053938</v>
      </c>
      <c r="D29" s="3">
        <f t="shared" si="0"/>
        <v>15.435299942523946</v>
      </c>
      <c r="E29" s="3">
        <f>E28+H28*$B$7/$F$4</f>
        <v>1.4252636441650153</v>
      </c>
      <c r="F29" s="21">
        <f t="shared" si="1"/>
        <v>6.531817409318931</v>
      </c>
      <c r="G29" s="20">
        <f>M29-$J$3*N29+$J$4*N28*ABS(N28)</f>
        <v>-35.887050627312966</v>
      </c>
      <c r="H29" s="4">
        <f>SIGN(G28-F29)*(-$J$3+SQRT(($J$3^2)+4*$J$5*ABS(G28-F29)))/(2*$J$5)</f>
        <v>-1.2504874361475606E-2</v>
      </c>
      <c r="I29" s="4">
        <f t="shared" si="2"/>
        <v>1.2504874361475606E-2</v>
      </c>
      <c r="J29" s="21">
        <f>G28+$J$3*I29</f>
        <v>3.4308932741162863</v>
      </c>
      <c r="K29" s="20">
        <f>J29+$J$3*I29-$J$4*I29*ABS(I29)</f>
        <v>42.794774546737536</v>
      </c>
      <c r="L29" s="3">
        <f>P29-$J$3*Q29+$J$4*Q29*ABS(Q29)</f>
        <v>-36.196292226573782</v>
      </c>
      <c r="M29" s="3">
        <f t="shared" si="3"/>
        <v>5.0502818974237051</v>
      </c>
      <c r="N29" s="26">
        <f>(M29-L28)/$J$3</f>
        <v>1.3053015390444732E-2</v>
      </c>
      <c r="O29" s="20">
        <f>M29+$J$3*N29-$J$4*N29*ABS(N29)</f>
        <v>46.08422327036434</v>
      </c>
      <c r="P29" s="3">
        <v>5</v>
      </c>
      <c r="Q29" s="26">
        <f>(O28-P29)/$J$3</f>
        <v>1.3106383210697162E-2</v>
      </c>
    </row>
    <row r="30" spans="1:17">
      <c r="A30" s="16">
        <v>19</v>
      </c>
      <c r="B30" s="17">
        <v>19</v>
      </c>
      <c r="C30" s="20">
        <f>C29-H29*$B$7</f>
        <v>0.66390175267201501</v>
      </c>
      <c r="D30" s="3">
        <f t="shared" si="0"/>
        <v>15.087083799027411</v>
      </c>
      <c r="E30" s="3">
        <f>E29+H29*$B$7/$F$4</f>
        <v>1.4093419436260397</v>
      </c>
      <c r="F30" s="21">
        <f t="shared" si="1"/>
        <v>6.1676795652834198</v>
      </c>
      <c r="G30" s="20">
        <f>M30-$J$3*N30+$J$4*N29*ABS(N29)</f>
        <v>-34.876473729099231</v>
      </c>
      <c r="H30" s="4">
        <f>SIGN(G29-F30)*(-$J$3+SQRT(($J$3^2)+4*$J$5*ABS(G29-F30)))/(2*$J$5)</f>
        <v>-1.2070432961672184E-2</v>
      </c>
      <c r="I30" s="4">
        <f t="shared" si="2"/>
        <v>1.2070432961672184E-2</v>
      </c>
      <c r="J30" s="21">
        <f>G29+$J$3*I30</f>
        <v>3.2784757969372649</v>
      </c>
      <c r="K30" s="20">
        <f>J30+$J$3*I30-$J$4*I30*ABS(I30)</f>
        <v>41.315406999177277</v>
      </c>
      <c r="L30" s="3">
        <f>P30-$J$3*Q30+$J$4*Q30*ABS(Q30)</f>
        <v>-34.842340985042121</v>
      </c>
      <c r="M30" s="3">
        <f t="shared" si="3"/>
        <v>3.299241160081877</v>
      </c>
      <c r="N30" s="26">
        <f>(M30-L29)/$J$3</f>
        <v>1.217213788639224E-2</v>
      </c>
      <c r="O30" s="20">
        <f>M30+$J$3*N30-$J$4*N30*ABS(N30)</f>
        <v>41.647080213109533</v>
      </c>
      <c r="P30" s="3">
        <v>5</v>
      </c>
      <c r="Q30" s="26">
        <f>(O29-P30)/$J$3</f>
        <v>1.2661756601853168E-2</v>
      </c>
    </row>
    <row r="31" spans="1:17" ht="15.75" thickBot="1">
      <c r="A31" s="18">
        <v>20</v>
      </c>
      <c r="B31" s="19">
        <v>20</v>
      </c>
      <c r="C31" s="22">
        <f>C30-H30*$B$7</f>
        <v>0.67597218563368722</v>
      </c>
      <c r="D31" s="23">
        <f t="shared" si="0"/>
        <v>14.764382544075088</v>
      </c>
      <c r="E31" s="23">
        <f>E30+H30*$B$7/$F$4</f>
        <v>1.3939733910571639</v>
      </c>
      <c r="F31" s="24">
        <f t="shared" si="1"/>
        <v>5.8296097577622223</v>
      </c>
      <c r="G31" s="22">
        <f>M31-$J$3*N31+$J$4*N30*ABS(N30)</f>
        <v>-33.694646651414118</v>
      </c>
      <c r="H31" s="25">
        <f>SIGN(G30-F31)*(-$J$3+SQRT(($J$3^2)+4*$J$5*ABS(G30-F31)))/(2*$J$5)</f>
        <v>-1.170753030050768E-2</v>
      </c>
      <c r="I31" s="25">
        <f t="shared" si="2"/>
        <v>1.170753030050768E-2</v>
      </c>
      <c r="J31" s="24">
        <f>G30+$J$3*I31</f>
        <v>3.1115246138964849</v>
      </c>
      <c r="K31" s="22">
        <f>J31+$J$3*I31-$J$4*I31*ABS(I31)</f>
        <v>40.037770947569648</v>
      </c>
      <c r="L31" s="23">
        <f>P31-$J$3*Q31+$J$4*Q31*ABS(Q31)</f>
        <v>-30.65896171795605</v>
      </c>
      <c r="M31" s="23">
        <f t="shared" si="3"/>
        <v>3.2365330070675782</v>
      </c>
      <c r="N31" s="27">
        <f>(M31-L30)/$J$3</f>
        <v>1.173553728855622E-2</v>
      </c>
      <c r="O31" s="22">
        <f>M31+$J$3*N31-$J$4*N31*ABS(N31)</f>
        <v>40.248569024981272</v>
      </c>
      <c r="P31" s="23">
        <v>5</v>
      </c>
      <c r="Q31" s="27">
        <f>(O30-P31)/$J$3</f>
        <v>1.1294272421153339E-2</v>
      </c>
    </row>
    <row r="32" spans="1:17" ht="15.75" thickTop="1">
      <c r="E32" s="1"/>
    </row>
    <row r="37" spans="3:8">
      <c r="C37" t="s">
        <v>10</v>
      </c>
      <c r="D37" t="s">
        <v>11</v>
      </c>
      <c r="E37" t="s">
        <v>12</v>
      </c>
      <c r="F37" t="s">
        <v>13</v>
      </c>
      <c r="H37" t="s">
        <v>9</v>
      </c>
    </row>
    <row r="38" spans="3:8">
      <c r="C38">
        <v>0</v>
      </c>
      <c r="D38">
        <f>F11-E11</f>
        <v>53.335248570941189</v>
      </c>
      <c r="E38">
        <f>101325/9810</f>
        <v>10.32874617737003</v>
      </c>
      <c r="F38">
        <f>D38+E38</f>
        <v>63.663994748311218</v>
      </c>
      <c r="H38">
        <f>F38*(C11)^1.2</f>
        <v>9.2284737404119177</v>
      </c>
    </row>
    <row r="39" spans="3:8">
      <c r="C39">
        <v>1</v>
      </c>
    </row>
    <row r="40" spans="3:8">
      <c r="C40">
        <v>2</v>
      </c>
    </row>
    <row r="41" spans="3:8">
      <c r="C41">
        <v>3</v>
      </c>
    </row>
    <row r="42" spans="3:8">
      <c r="C42">
        <v>4</v>
      </c>
    </row>
    <row r="43" spans="3:8">
      <c r="C43">
        <v>5</v>
      </c>
    </row>
    <row r="44" spans="3:8">
      <c r="C44">
        <v>6</v>
      </c>
    </row>
    <row r="45" spans="3:8">
      <c r="C45">
        <v>7</v>
      </c>
    </row>
    <row r="46" spans="3:8">
      <c r="C46">
        <v>8</v>
      </c>
    </row>
    <row r="47" spans="3:8">
      <c r="C47">
        <v>9</v>
      </c>
    </row>
    <row r="48" spans="3:8">
      <c r="C48">
        <v>10</v>
      </c>
    </row>
    <row r="49" spans="3:3">
      <c r="C49">
        <v>11</v>
      </c>
    </row>
    <row r="50" spans="3:3">
      <c r="C50">
        <v>12</v>
      </c>
    </row>
    <row r="51" spans="3:3">
      <c r="C51">
        <v>13</v>
      </c>
    </row>
    <row r="52" spans="3:3">
      <c r="C52">
        <v>14</v>
      </c>
    </row>
    <row r="53" spans="3:3">
      <c r="C53">
        <v>15</v>
      </c>
    </row>
    <row r="54" spans="3:3">
      <c r="C54">
        <v>16</v>
      </c>
    </row>
    <row r="55" spans="3:3">
      <c r="C55">
        <v>17</v>
      </c>
    </row>
    <row r="56" spans="3:3">
      <c r="C56">
        <v>18</v>
      </c>
    </row>
    <row r="57" spans="3:3">
      <c r="C57">
        <v>19</v>
      </c>
    </row>
    <row r="58" spans="3:3">
      <c r="C58">
        <v>20</v>
      </c>
    </row>
  </sheetData>
  <pageMargins left="0.25" right="0.25" top="1" bottom="0.25" header="0" footer="0"/>
  <pageSetup paperSize="9" orientation="landscape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Proracun</vt:lpstr>
      <vt:lpstr>Sheet2</vt:lpstr>
      <vt:lpstr>Sheet3</vt:lpstr>
      <vt:lpstr>Pijezometarske kote</vt:lpstr>
      <vt:lpstr>Protoci</vt:lpstr>
      <vt:lpstr>Zapremina vazduha u kazanu</vt:lpstr>
    </vt:vector>
  </TitlesOfParts>
  <Company>Personal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</dc:creator>
  <cp:lastModifiedBy>Aca</cp:lastModifiedBy>
  <cp:lastPrinted>2009-04-21T17:24:30Z</cp:lastPrinted>
  <dcterms:created xsi:type="dcterms:W3CDTF">2009-04-21T14:24:15Z</dcterms:created>
  <dcterms:modified xsi:type="dcterms:W3CDTF">2009-04-21T17:24:36Z</dcterms:modified>
</cp:coreProperties>
</file>